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ários\Renato\Downloads\simec - downloads\projetos FNDE - download site\projetos FNDE 2012\"/>
    </mc:Choice>
  </mc:AlternateContent>
  <bookViews>
    <workbookView xWindow="0" yWindow="0" windowWidth="4725" windowHeight="4650"/>
  </bookViews>
  <sheets>
    <sheet name="Serviços Extras - Creche" sheetId="16" r:id="rId1"/>
    <sheet name="Recurso Federal - Creche" sheetId="18" r:id="rId2"/>
    <sheet name="Cronograma" sheetId="19" r:id="rId3"/>
    <sheet name="APRESENTAR COMPOSIÇÕES DE CUSTO" sheetId="21" r:id="rId4"/>
  </sheets>
  <definedNames>
    <definedName name="_xlnm.Print_Area" localSheetId="0">'Serviços Extras - Creche'!$A$1:$H$141</definedName>
    <definedName name="AreaTeste">#REF!</definedName>
    <definedName name="AreaTeste2">#REF!</definedName>
    <definedName name="CélulaInicioPlanilha">#REF!</definedName>
    <definedName name="CélulaResumo">#REF!</definedName>
  </definedNames>
  <calcPr calcId="152511"/>
</workbook>
</file>

<file path=xl/calcChain.xml><?xml version="1.0" encoding="utf-8"?>
<calcChain xmlns="http://schemas.openxmlformats.org/spreadsheetml/2006/main">
  <c r="R98" i="19" l="1"/>
  <c r="Q98" i="19"/>
  <c r="P98" i="19"/>
  <c r="J86" i="19"/>
  <c r="I86" i="19"/>
  <c r="H86" i="19"/>
  <c r="G86" i="19"/>
  <c r="F88" i="19"/>
  <c r="G88" i="19"/>
  <c r="H88" i="19"/>
  <c r="I88" i="19"/>
  <c r="J88" i="19"/>
  <c r="K86" i="19"/>
  <c r="K88" i="19"/>
  <c r="H26" i="16"/>
  <c r="H25" i="16"/>
  <c r="H24" i="16"/>
  <c r="G20" i="16"/>
  <c r="H20" i="16" s="1"/>
  <c r="G21" i="16"/>
  <c r="H21" i="16" s="1"/>
  <c r="E22" i="16"/>
  <c r="G22" i="16"/>
  <c r="H22" i="16" s="1"/>
  <c r="G26" i="16"/>
  <c r="G25" i="16"/>
  <c r="G24" i="16"/>
  <c r="E26" i="16"/>
  <c r="E25" i="16"/>
  <c r="E24" i="16"/>
  <c r="G18" i="16"/>
  <c r="G19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7" i="16"/>
  <c r="H74" i="16" l="1"/>
  <c r="H76" i="16"/>
  <c r="H75" i="16"/>
  <c r="H73" i="16"/>
  <c r="H72" i="16"/>
  <c r="H71" i="16"/>
  <c r="H70" i="16"/>
  <c r="G550" i="18" l="1"/>
  <c r="H550" i="18" s="1"/>
  <c r="D76" i="19" s="1"/>
  <c r="I78" i="19" s="1"/>
  <c r="G110" i="18"/>
  <c r="G549" i="18"/>
  <c r="G546" i="18"/>
  <c r="G545" i="18"/>
  <c r="G544" i="18"/>
  <c r="E543" i="18"/>
  <c r="G543" i="18" s="1"/>
  <c r="G542" i="18"/>
  <c r="G541" i="18"/>
  <c r="G540" i="18"/>
  <c r="G539" i="18"/>
  <c r="G538" i="18"/>
  <c r="G537" i="18"/>
  <c r="G536" i="18"/>
  <c r="G535" i="18"/>
  <c r="G534" i="18"/>
  <c r="G533" i="18"/>
  <c r="E532" i="18"/>
  <c r="G532" i="18" s="1"/>
  <c r="E531" i="18"/>
  <c r="G531" i="18" s="1"/>
  <c r="G530" i="18"/>
  <c r="G529" i="18"/>
  <c r="G528" i="18"/>
  <c r="G527" i="18"/>
  <c r="G526" i="18"/>
  <c r="G523" i="18"/>
  <c r="G521" i="18"/>
  <c r="G520" i="18"/>
  <c r="G519" i="18"/>
  <c r="G516" i="18"/>
  <c r="G515" i="18"/>
  <c r="G513" i="18"/>
  <c r="G512" i="18"/>
  <c r="G524" i="18" s="1"/>
  <c r="H524" i="18" s="1"/>
  <c r="D70" i="19" s="1"/>
  <c r="I72" i="19" s="1"/>
  <c r="G508" i="18"/>
  <c r="G506" i="18"/>
  <c r="G504" i="18"/>
  <c r="G502" i="18"/>
  <c r="G501" i="18"/>
  <c r="G499" i="18"/>
  <c r="G496" i="18"/>
  <c r="G495" i="18"/>
  <c r="G493" i="18"/>
  <c r="G491" i="18"/>
  <c r="G490" i="18"/>
  <c r="G488" i="18"/>
  <c r="G486" i="18"/>
  <c r="G484" i="18"/>
  <c r="G483" i="18"/>
  <c r="G481" i="18"/>
  <c r="G480" i="18"/>
  <c r="G478" i="18"/>
  <c r="G476" i="18"/>
  <c r="G475" i="18"/>
  <c r="G509" i="18" s="1"/>
  <c r="G470" i="18"/>
  <c r="G469" i="18"/>
  <c r="G468" i="18"/>
  <c r="G467" i="18"/>
  <c r="G465" i="18"/>
  <c r="G463" i="18"/>
  <c r="G462" i="18"/>
  <c r="G461" i="18"/>
  <c r="G460" i="18"/>
  <c r="G459" i="18"/>
  <c r="G458" i="18"/>
  <c r="G471" i="18" s="1"/>
  <c r="G454" i="18"/>
  <c r="G455" i="18" s="1"/>
  <c r="G453" i="18"/>
  <c r="G452" i="18"/>
  <c r="G447" i="18"/>
  <c r="G446" i="18"/>
  <c r="G444" i="18"/>
  <c r="G442" i="18"/>
  <c r="G441" i="18"/>
  <c r="G439" i="18"/>
  <c r="G438" i="18"/>
  <c r="G437" i="18"/>
  <c r="G435" i="18"/>
  <c r="G434" i="18"/>
  <c r="G448" i="18" s="1"/>
  <c r="H448" i="18" s="1"/>
  <c r="G428" i="18"/>
  <c r="G426" i="18"/>
  <c r="G425" i="18"/>
  <c r="G423" i="18"/>
  <c r="G422" i="18"/>
  <c r="G421" i="18"/>
  <c r="G419" i="18"/>
  <c r="G418" i="18"/>
  <c r="G416" i="18"/>
  <c r="G415" i="18"/>
  <c r="G414" i="18"/>
  <c r="G413" i="18"/>
  <c r="G411" i="18"/>
  <c r="G409" i="18"/>
  <c r="G408" i="18"/>
  <c r="G407" i="18"/>
  <c r="G429" i="18" s="1"/>
  <c r="H429" i="18" s="1"/>
  <c r="D61" i="19" s="1"/>
  <c r="I63" i="19" s="1"/>
  <c r="I61" i="19" s="1"/>
  <c r="G406" i="18"/>
  <c r="G402" i="18"/>
  <c r="G401" i="18"/>
  <c r="G400" i="18"/>
  <c r="G399" i="18"/>
  <c r="G398" i="18"/>
  <c r="G397" i="18"/>
  <c r="G396" i="18"/>
  <c r="G395" i="18"/>
  <c r="G394" i="18"/>
  <c r="G393" i="18"/>
  <c r="G392" i="18"/>
  <c r="G391" i="18"/>
  <c r="G390" i="18"/>
  <c r="G389" i="18"/>
  <c r="G388" i="18"/>
  <c r="G387" i="18"/>
  <c r="G386" i="18"/>
  <c r="G385" i="18"/>
  <c r="G384" i="18"/>
  <c r="G383" i="18"/>
  <c r="G382" i="18"/>
  <c r="G381" i="18"/>
  <c r="G380" i="18"/>
  <c r="G379" i="18"/>
  <c r="G378" i="18"/>
  <c r="G377" i="18"/>
  <c r="G376" i="18"/>
  <c r="E376" i="18"/>
  <c r="G375" i="18"/>
  <c r="G374" i="18"/>
  <c r="G373" i="18"/>
  <c r="G372" i="18"/>
  <c r="G371" i="18"/>
  <c r="G370" i="18"/>
  <c r="G369" i="18"/>
  <c r="G368" i="18"/>
  <c r="G367" i="18"/>
  <c r="G366" i="18"/>
  <c r="G365" i="18"/>
  <c r="G364" i="18"/>
  <c r="G363" i="18"/>
  <c r="G362" i="18"/>
  <c r="G361" i="18"/>
  <c r="G360" i="18"/>
  <c r="G359" i="18"/>
  <c r="G358" i="18"/>
  <c r="G357" i="18"/>
  <c r="G356" i="18"/>
  <c r="G355" i="18"/>
  <c r="G354" i="18"/>
  <c r="G403" i="18" s="1"/>
  <c r="H403" i="18" s="1"/>
  <c r="D58" i="19" s="1"/>
  <c r="I60" i="19" s="1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52" i="18" s="1"/>
  <c r="H352" i="18" s="1"/>
  <c r="D55" i="19" s="1"/>
  <c r="H57" i="19" s="1"/>
  <c r="G335" i="18"/>
  <c r="G334" i="18"/>
  <c r="G332" i="18"/>
  <c r="G329" i="18"/>
  <c r="G327" i="18"/>
  <c r="G326" i="18"/>
  <c r="G325" i="18"/>
  <c r="G324" i="18"/>
  <c r="G323" i="18"/>
  <c r="G322" i="18"/>
  <c r="G321" i="18"/>
  <c r="G320" i="18"/>
  <c r="G319" i="18"/>
  <c r="G318" i="18"/>
  <c r="G317" i="18"/>
  <c r="G314" i="18"/>
  <c r="G312" i="18"/>
  <c r="G310" i="18"/>
  <c r="G336" i="18" s="1"/>
  <c r="H336" i="18" s="1"/>
  <c r="D52" i="19" s="1"/>
  <c r="J54" i="19" s="1"/>
  <c r="J52" i="19" s="1"/>
  <c r="G304" i="18"/>
  <c r="G303" i="18"/>
  <c r="G302" i="18"/>
  <c r="G305" i="18" s="1"/>
  <c r="D49" i="19" s="1"/>
  <c r="F51" i="19" s="1"/>
  <c r="G299" i="18"/>
  <c r="G298" i="18"/>
  <c r="G300" i="18" s="1"/>
  <c r="G292" i="18"/>
  <c r="G293" i="18" s="1"/>
  <c r="G288" i="18"/>
  <c r="G287" i="18"/>
  <c r="G286" i="18"/>
  <c r="G285" i="18"/>
  <c r="G284" i="18"/>
  <c r="G283" i="18"/>
  <c r="G282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89" i="18" s="1"/>
  <c r="G263" i="18"/>
  <c r="G262" i="18"/>
  <c r="G261" i="18"/>
  <c r="G260" i="18"/>
  <c r="G259" i="18"/>
  <c r="G258" i="18"/>
  <c r="G255" i="18"/>
  <c r="G253" i="18"/>
  <c r="G251" i="18"/>
  <c r="G250" i="18"/>
  <c r="G247" i="18"/>
  <c r="G246" i="18"/>
  <c r="G245" i="18"/>
  <c r="G244" i="18"/>
  <c r="G243" i="18"/>
  <c r="G242" i="18"/>
  <c r="G241" i="18"/>
  <c r="G240" i="18"/>
  <c r="G238" i="18"/>
  <c r="G237" i="18"/>
  <c r="G235" i="18"/>
  <c r="G234" i="18"/>
  <c r="G233" i="18"/>
  <c r="G232" i="18"/>
  <c r="G230" i="18"/>
  <c r="G229" i="18"/>
  <c r="G227" i="18"/>
  <c r="G226" i="18"/>
  <c r="G225" i="18"/>
  <c r="G224" i="18"/>
  <c r="G223" i="18"/>
  <c r="G222" i="18"/>
  <c r="G221" i="18"/>
  <c r="G264" i="18" s="1"/>
  <c r="G217" i="18"/>
  <c r="G216" i="18"/>
  <c r="G215" i="18"/>
  <c r="G214" i="18"/>
  <c r="G213" i="18"/>
  <c r="G218" i="18" s="1"/>
  <c r="G212" i="18"/>
  <c r="G209" i="18"/>
  <c r="G208" i="18"/>
  <c r="G207" i="18"/>
  <c r="G210" i="18" s="1"/>
  <c r="G206" i="18"/>
  <c r="G205" i="18"/>
  <c r="G204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202" i="18" s="1"/>
  <c r="G186" i="18"/>
  <c r="G185" i="18"/>
  <c r="G184" i="18"/>
  <c r="G183" i="18"/>
  <c r="G182" i="18"/>
  <c r="G181" i="18"/>
  <c r="G180" i="18"/>
  <c r="G187" i="18" s="1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77" i="18" s="1"/>
  <c r="G158" i="18"/>
  <c r="G157" i="18"/>
  <c r="G156" i="18"/>
  <c r="G155" i="18"/>
  <c r="G154" i="18"/>
  <c r="G153" i="18"/>
  <c r="G152" i="18"/>
  <c r="G151" i="18"/>
  <c r="G150" i="18"/>
  <c r="G159" i="18" s="1"/>
  <c r="G149" i="18"/>
  <c r="G148" i="18"/>
  <c r="G147" i="18"/>
  <c r="G144" i="18"/>
  <c r="G143" i="18"/>
  <c r="G142" i="18"/>
  <c r="G141" i="18"/>
  <c r="G140" i="18"/>
  <c r="G139" i="18"/>
  <c r="G138" i="18"/>
  <c r="G137" i="18"/>
  <c r="G136" i="18"/>
  <c r="G135" i="18"/>
  <c r="G134" i="18"/>
  <c r="G145" i="18" s="1"/>
  <c r="G131" i="18"/>
  <c r="G130" i="18"/>
  <c r="G128" i="18"/>
  <c r="G127" i="18"/>
  <c r="G126" i="18"/>
  <c r="G125" i="18"/>
  <c r="G124" i="18"/>
  <c r="G123" i="18"/>
  <c r="G121" i="18"/>
  <c r="G120" i="18"/>
  <c r="G119" i="18"/>
  <c r="G132" i="18" s="1"/>
  <c r="G115" i="18"/>
  <c r="G114" i="18"/>
  <c r="G113" i="18"/>
  <c r="G116" i="18" s="1"/>
  <c r="G112" i="18"/>
  <c r="E109" i="18"/>
  <c r="G109" i="18" s="1"/>
  <c r="G106" i="18"/>
  <c r="G107" i="18" s="1"/>
  <c r="G103" i="18"/>
  <c r="G102" i="18"/>
  <c r="G104" i="18" s="1"/>
  <c r="G97" i="18"/>
  <c r="G96" i="18"/>
  <c r="G95" i="18"/>
  <c r="G93" i="18"/>
  <c r="G91" i="18"/>
  <c r="G89" i="18"/>
  <c r="G88" i="18"/>
  <c r="G98" i="18" s="1"/>
  <c r="H98" i="18" s="1"/>
  <c r="D40" i="19" s="1"/>
  <c r="I42" i="19" s="1"/>
  <c r="I40" i="19" s="1"/>
  <c r="E84" i="18"/>
  <c r="G84" i="18" s="1"/>
  <c r="E83" i="18"/>
  <c r="G83" i="18" s="1"/>
  <c r="E82" i="18"/>
  <c r="G82" i="18" s="1"/>
  <c r="G81" i="18"/>
  <c r="G85" i="18" s="1"/>
  <c r="H85" i="18" s="1"/>
  <c r="D37" i="19" s="1"/>
  <c r="H39" i="19" s="1"/>
  <c r="H37" i="19" s="1"/>
  <c r="G78" i="18"/>
  <c r="E76" i="18"/>
  <c r="G76" i="18" s="1"/>
  <c r="E75" i="18"/>
  <c r="G75" i="18" s="1"/>
  <c r="G72" i="18"/>
  <c r="G71" i="18"/>
  <c r="G73" i="18" s="1"/>
  <c r="G67" i="18"/>
  <c r="G68" i="18" s="1"/>
  <c r="H73" i="18" s="1"/>
  <c r="G66" i="18"/>
  <c r="G61" i="18"/>
  <c r="G60" i="18"/>
  <c r="G62" i="18" s="1"/>
  <c r="H62" i="18" s="1"/>
  <c r="D28" i="19" s="1"/>
  <c r="I30" i="19" s="1"/>
  <c r="I28" i="19" s="1"/>
  <c r="G57" i="18"/>
  <c r="E57" i="18"/>
  <c r="G56" i="18"/>
  <c r="G55" i="18"/>
  <c r="G54" i="18"/>
  <c r="G58" i="18" s="1"/>
  <c r="H58" i="18" s="1"/>
  <c r="D25" i="19" s="1"/>
  <c r="G27" i="19" s="1"/>
  <c r="G25" i="19" s="1"/>
  <c r="G53" i="18"/>
  <c r="G50" i="18"/>
  <c r="G49" i="18"/>
  <c r="G51" i="18" s="1"/>
  <c r="H51" i="18" s="1"/>
  <c r="D22" i="19" s="1"/>
  <c r="J24" i="19" s="1"/>
  <c r="J22" i="19" s="1"/>
  <c r="E46" i="18"/>
  <c r="G46" i="18" s="1"/>
  <c r="G47" i="18" s="1"/>
  <c r="G45" i="18"/>
  <c r="G44" i="18"/>
  <c r="G42" i="18"/>
  <c r="G41" i="18"/>
  <c r="G43" i="18" s="1"/>
  <c r="D19" i="19" s="1"/>
  <c r="H21" i="19" s="1"/>
  <c r="G39" i="18"/>
  <c r="G35" i="18"/>
  <c r="G34" i="18"/>
  <c r="G33" i="18"/>
  <c r="G32" i="18"/>
  <c r="G31" i="18"/>
  <c r="G36" i="18" s="1"/>
  <c r="E26" i="18"/>
  <c r="G26" i="18" s="1"/>
  <c r="G25" i="18"/>
  <c r="G27" i="18" s="1"/>
  <c r="H27" i="18" s="1"/>
  <c r="D13" i="19" s="1"/>
  <c r="G15" i="19" s="1"/>
  <c r="E25" i="18"/>
  <c r="G20" i="18"/>
  <c r="G19" i="18"/>
  <c r="G18" i="18"/>
  <c r="G21" i="18" s="1"/>
  <c r="H21" i="18" s="1"/>
  <c r="D10" i="19" s="1"/>
  <c r="G12" i="19" s="1"/>
  <c r="G10" i="19" s="1"/>
  <c r="H115" i="16"/>
  <c r="H119" i="16"/>
  <c r="H123" i="16"/>
  <c r="H120" i="16"/>
  <c r="H113" i="16"/>
  <c r="D46" i="19" l="1"/>
  <c r="H305" i="18"/>
  <c r="D16" i="19"/>
  <c r="H18" i="19" s="1"/>
  <c r="H16" i="19" s="1"/>
  <c r="H47" i="18"/>
  <c r="H293" i="18"/>
  <c r="H509" i="18"/>
  <c r="D67" i="19" s="1"/>
  <c r="G547" i="18"/>
  <c r="H547" i="18" s="1"/>
  <c r="D73" i="19" s="1"/>
  <c r="K75" i="19" s="1"/>
  <c r="D64" i="19"/>
  <c r="C301" i="18"/>
  <c r="E77" i="18"/>
  <c r="G77" i="18" s="1"/>
  <c r="G79" i="18" s="1"/>
  <c r="H79" i="18" s="1"/>
  <c r="D34" i="19" s="1"/>
  <c r="H36" i="19" s="1"/>
  <c r="H30" i="19"/>
  <c r="H28" i="19" s="1"/>
  <c r="H63" i="19"/>
  <c r="L61" i="19" s="1"/>
  <c r="J30" i="19"/>
  <c r="J28" i="19" s="1"/>
  <c r="J51" i="19"/>
  <c r="J49" i="19" s="1"/>
  <c r="H78" i="19"/>
  <c r="I57" i="19"/>
  <c r="I55" i="19" s="1"/>
  <c r="H51" i="19"/>
  <c r="H49" i="19" s="1"/>
  <c r="K51" i="19"/>
  <c r="K49" i="19" s="1"/>
  <c r="J78" i="19"/>
  <c r="G39" i="19"/>
  <c r="G37" i="19" s="1"/>
  <c r="H72" i="19"/>
  <c r="H70" i="19" s="1"/>
  <c r="J72" i="19"/>
  <c r="J70" i="19" s="1"/>
  <c r="G54" i="19"/>
  <c r="I54" i="19"/>
  <c r="I52" i="19" s="1"/>
  <c r="K54" i="19"/>
  <c r="K52" i="19" s="1"/>
  <c r="H54" i="19"/>
  <c r="H52" i="19" s="1"/>
  <c r="F24" i="19"/>
  <c r="F22" i="19" s="1"/>
  <c r="I58" i="19"/>
  <c r="L58" i="19"/>
  <c r="F54" i="19"/>
  <c r="G42" i="19"/>
  <c r="G40" i="19" s="1"/>
  <c r="H42" i="19"/>
  <c r="H40" i="19" s="1"/>
  <c r="F12" i="19"/>
  <c r="F10" i="19" s="1"/>
  <c r="H66" i="19"/>
  <c r="H64" i="19" s="1"/>
  <c r="I66" i="19"/>
  <c r="I64" i="19" s="1"/>
  <c r="J66" i="19"/>
  <c r="J64" i="19" s="1"/>
  <c r="K66" i="19"/>
  <c r="K64" i="19" s="1"/>
  <c r="H55" i="19"/>
  <c r="G51" i="19"/>
  <c r="G49" i="19" s="1"/>
  <c r="F49" i="19"/>
  <c r="I51" i="19"/>
  <c r="I49" i="19" s="1"/>
  <c r="H27" i="19"/>
  <c r="I27" i="19"/>
  <c r="I25" i="19" s="1"/>
  <c r="G24" i="19"/>
  <c r="G22" i="19" s="1"/>
  <c r="H24" i="19"/>
  <c r="H22" i="19" s="1"/>
  <c r="I24" i="19"/>
  <c r="I22" i="19" s="1"/>
  <c r="F21" i="19"/>
  <c r="G21" i="19"/>
  <c r="G19" i="19" s="1"/>
  <c r="G13" i="19"/>
  <c r="F15" i="19"/>
  <c r="F13" i="19" s="1"/>
  <c r="I70" i="19"/>
  <c r="I76" i="19"/>
  <c r="K73" i="19"/>
  <c r="D31" i="19"/>
  <c r="H114" i="16"/>
  <c r="H116" i="16"/>
  <c r="H117" i="16"/>
  <c r="H118" i="16"/>
  <c r="H121" i="16"/>
  <c r="H122" i="16"/>
  <c r="H125" i="16"/>
  <c r="H126" i="16"/>
  <c r="G128" i="16"/>
  <c r="H79" i="16"/>
  <c r="L34" i="19" l="1"/>
  <c r="H34" i="19"/>
  <c r="I75" i="19"/>
  <c r="I73" i="19" s="1"/>
  <c r="I18" i="19"/>
  <c r="I16" i="19" s="1"/>
  <c r="G18" i="19"/>
  <c r="G16" i="19" s="1"/>
  <c r="J75" i="19"/>
  <c r="J73" i="19" s="1"/>
  <c r="L73" i="19"/>
  <c r="H127" i="16"/>
  <c r="D125" i="19" s="1"/>
  <c r="G127" i="19" s="1"/>
  <c r="G52" i="19"/>
  <c r="H61" i="19"/>
  <c r="F52" i="19"/>
  <c r="F79" i="19"/>
  <c r="H76" i="19"/>
  <c r="J76" i="19"/>
  <c r="L28" i="19"/>
  <c r="L37" i="19"/>
  <c r="L55" i="19"/>
  <c r="L76" i="19"/>
  <c r="L70" i="19"/>
  <c r="H69" i="19"/>
  <c r="H67" i="19" s="1"/>
  <c r="K69" i="19"/>
  <c r="I69" i="19"/>
  <c r="I67" i="19" s="1"/>
  <c r="J69" i="19"/>
  <c r="J67" i="19" s="1"/>
  <c r="L52" i="19"/>
  <c r="L49" i="19"/>
  <c r="G48" i="19"/>
  <c r="G46" i="19" s="1"/>
  <c r="H48" i="19"/>
  <c r="H46" i="19" s="1"/>
  <c r="I48" i="19"/>
  <c r="I46" i="19" s="1"/>
  <c r="H552" i="18"/>
  <c r="D43" i="19"/>
  <c r="D81" i="19" s="1"/>
  <c r="L40" i="19"/>
  <c r="H33" i="19"/>
  <c r="H31" i="19" s="1"/>
  <c r="I33" i="19"/>
  <c r="I31" i="19" s="1"/>
  <c r="G33" i="19"/>
  <c r="L13" i="19"/>
  <c r="L22" i="19"/>
  <c r="L10" i="19"/>
  <c r="L64" i="19"/>
  <c r="H25" i="19"/>
  <c r="L25" i="19"/>
  <c r="F19" i="19"/>
  <c r="H19" i="19" s="1"/>
  <c r="L19" i="19"/>
  <c r="L16" i="19" l="1"/>
  <c r="H79" i="19"/>
  <c r="L125" i="19"/>
  <c r="G125" i="19"/>
  <c r="K67" i="19"/>
  <c r="G79" i="19"/>
  <c r="L67" i="19"/>
  <c r="L46" i="19"/>
  <c r="E34" i="19"/>
  <c r="E31" i="19"/>
  <c r="E52" i="19"/>
  <c r="E83" i="19"/>
  <c r="G83" i="19" s="1"/>
  <c r="E22" i="19"/>
  <c r="E49" i="19"/>
  <c r="E25" i="19"/>
  <c r="E76" i="19"/>
  <c r="E55" i="19"/>
  <c r="E43" i="19"/>
  <c r="E64" i="19"/>
  <c r="E46" i="19"/>
  <c r="E16" i="19"/>
  <c r="E70" i="19"/>
  <c r="E61" i="19"/>
  <c r="E10" i="19"/>
  <c r="E19" i="19"/>
  <c r="E13" i="19"/>
  <c r="E37" i="19"/>
  <c r="E40" i="19"/>
  <c r="E28" i="19"/>
  <c r="E73" i="19"/>
  <c r="D84" i="19"/>
  <c r="E67" i="19"/>
  <c r="E58" i="19"/>
  <c r="G81" i="19"/>
  <c r="K45" i="19"/>
  <c r="K79" i="19" s="1"/>
  <c r="J45" i="19"/>
  <c r="J79" i="19" s="1"/>
  <c r="I45" i="19"/>
  <c r="I79" i="19" s="1"/>
  <c r="H81" i="19"/>
  <c r="G31" i="19"/>
  <c r="L31" i="19"/>
  <c r="F80" i="19"/>
  <c r="G80" i="19" s="1"/>
  <c r="H80" i="19" s="1"/>
  <c r="F81" i="19"/>
  <c r="H69" i="16"/>
  <c r="H78" i="16"/>
  <c r="H81" i="16" s="1"/>
  <c r="D110" i="19" s="1"/>
  <c r="H80" i="16"/>
  <c r="H45" i="16"/>
  <c r="H44" i="16"/>
  <c r="I112" i="19" l="1"/>
  <c r="I110" i="19" s="1"/>
  <c r="H112" i="19"/>
  <c r="H110" i="19" s="1"/>
  <c r="F112" i="19"/>
  <c r="G112" i="19"/>
  <c r="I80" i="19"/>
  <c r="J80" i="19" s="1"/>
  <c r="K80" i="19" s="1"/>
  <c r="K82" i="19" s="1"/>
  <c r="L84" i="19"/>
  <c r="F83" i="19"/>
  <c r="E81" i="19"/>
  <c r="E84" i="19"/>
  <c r="H84" i="19" s="1"/>
  <c r="I43" i="19"/>
  <c r="L43" i="19"/>
  <c r="L81" i="19" s="1"/>
  <c r="J43" i="19"/>
  <c r="K43" i="19"/>
  <c r="K81" i="19"/>
  <c r="H83" i="19"/>
  <c r="F82" i="19"/>
  <c r="G82" i="19"/>
  <c r="H38" i="16"/>
  <c r="H39" i="16" s="1"/>
  <c r="D92" i="19" s="1"/>
  <c r="H94" i="19" l="1"/>
  <c r="G94" i="19"/>
  <c r="G92" i="19" s="1"/>
  <c r="F94" i="19"/>
  <c r="L110" i="19"/>
  <c r="F110" i="19"/>
  <c r="G84" i="19"/>
  <c r="F84" i="19"/>
  <c r="I81" i="19"/>
  <c r="I83" i="19"/>
  <c r="J83" i="19"/>
  <c r="J81" i="19"/>
  <c r="K84" i="19"/>
  <c r="J84" i="19"/>
  <c r="K83" i="19"/>
  <c r="I84" i="19"/>
  <c r="H82" i="19"/>
  <c r="H31" i="16"/>
  <c r="F92" i="19" l="1"/>
  <c r="L92" i="19"/>
  <c r="H92" i="19"/>
  <c r="I82" i="19"/>
  <c r="J82" i="19"/>
  <c r="H18" i="16"/>
  <c r="H19" i="16"/>
  <c r="H32" i="16"/>
  <c r="H33" i="16"/>
  <c r="H43" i="16"/>
  <c r="H46" i="16" s="1"/>
  <c r="D95" i="19" s="1"/>
  <c r="H53" i="16"/>
  <c r="H54" i="16"/>
  <c r="H55" i="16"/>
  <c r="H56" i="16"/>
  <c r="H57" i="16"/>
  <c r="H61" i="16"/>
  <c r="H62" i="16"/>
  <c r="H65" i="16"/>
  <c r="H66" i="16" s="1"/>
  <c r="D104" i="19" s="1"/>
  <c r="H67" i="16"/>
  <c r="H68" i="16"/>
  <c r="H82" i="16"/>
  <c r="H83" i="16"/>
  <c r="H84" i="16"/>
  <c r="H85" i="16"/>
  <c r="H86" i="16"/>
  <c r="H88" i="16"/>
  <c r="H89" i="16"/>
  <c r="H90" i="16"/>
  <c r="H91" i="16"/>
  <c r="H92" i="16"/>
  <c r="H93" i="16"/>
  <c r="H94" i="16"/>
  <c r="H95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10" i="16"/>
  <c r="H111" i="16"/>
  <c r="H112" i="16"/>
  <c r="H17" i="16"/>
  <c r="H124" i="16" l="1"/>
  <c r="D122" i="19" s="1"/>
  <c r="J124" i="19" s="1"/>
  <c r="J122" i="19" s="1"/>
  <c r="H27" i="16"/>
  <c r="H87" i="16"/>
  <c r="D113" i="19" s="1"/>
  <c r="H77" i="16"/>
  <c r="D107" i="19" s="1"/>
  <c r="K106" i="19"/>
  <c r="G106" i="19"/>
  <c r="I106" i="19"/>
  <c r="I104" i="19" s="1"/>
  <c r="H106" i="19"/>
  <c r="H104" i="19" s="1"/>
  <c r="J106" i="19"/>
  <c r="J104" i="19" s="1"/>
  <c r="H97" i="19"/>
  <c r="G97" i="19"/>
  <c r="H96" i="16"/>
  <c r="D116" i="19" s="1"/>
  <c r="H63" i="16"/>
  <c r="D101" i="19" s="1"/>
  <c r="H34" i="16"/>
  <c r="D89" i="19" s="1"/>
  <c r="H109" i="16"/>
  <c r="D119" i="19" s="1"/>
  <c r="H58" i="16"/>
  <c r="H52" i="16"/>
  <c r="H51" i="16"/>
  <c r="H50" i="16"/>
  <c r="H49" i="16"/>
  <c r="G124" i="19" l="1"/>
  <c r="G122" i="19" s="1"/>
  <c r="H124" i="19"/>
  <c r="H122" i="19" s="1"/>
  <c r="I124" i="19"/>
  <c r="I122" i="19" s="1"/>
  <c r="F124" i="19"/>
  <c r="G104" i="19"/>
  <c r="L104" i="19"/>
  <c r="G109" i="19"/>
  <c r="G110" i="19" s="1"/>
  <c r="I109" i="19"/>
  <c r="I107" i="19" s="1"/>
  <c r="H109" i="19"/>
  <c r="H107" i="19" s="1"/>
  <c r="L95" i="19"/>
  <c r="G95" i="19"/>
  <c r="I115" i="19"/>
  <c r="I113" i="19" s="1"/>
  <c r="K115" i="19"/>
  <c r="K113" i="19" s="1"/>
  <c r="J115" i="19"/>
  <c r="J113" i="19" s="1"/>
  <c r="G115" i="19"/>
  <c r="H115" i="19"/>
  <c r="H113" i="19" s="1"/>
  <c r="J103" i="19"/>
  <c r="J101" i="19" s="1"/>
  <c r="H103" i="19"/>
  <c r="I103" i="19"/>
  <c r="I101" i="19" s="1"/>
  <c r="K118" i="19"/>
  <c r="K116" i="19" s="1"/>
  <c r="F118" i="19"/>
  <c r="I118" i="19"/>
  <c r="I116" i="19" s="1"/>
  <c r="H118" i="19"/>
  <c r="H116" i="19" s="1"/>
  <c r="J118" i="19"/>
  <c r="J116" i="19" s="1"/>
  <c r="G118" i="19"/>
  <c r="G116" i="19" s="1"/>
  <c r="H95" i="19"/>
  <c r="G91" i="19"/>
  <c r="F91" i="19"/>
  <c r="K104" i="19"/>
  <c r="G121" i="19"/>
  <c r="H121" i="19"/>
  <c r="H119" i="19" s="1"/>
  <c r="J121" i="19"/>
  <c r="J119" i="19" s="1"/>
  <c r="K121" i="19"/>
  <c r="K119" i="19" s="1"/>
  <c r="I121" i="19"/>
  <c r="I119" i="19" s="1"/>
  <c r="F122" i="19"/>
  <c r="H59" i="16"/>
  <c r="D98" i="19" s="1"/>
  <c r="L122" i="19" l="1"/>
  <c r="H101" i="19"/>
  <c r="L101" i="19"/>
  <c r="G119" i="19"/>
  <c r="L119" i="19"/>
  <c r="J100" i="19"/>
  <c r="H100" i="19"/>
  <c r="G100" i="19"/>
  <c r="I100" i="19"/>
  <c r="K128" i="19"/>
  <c r="K132" i="19" s="1"/>
  <c r="K133" i="19" s="1"/>
  <c r="K134" i="19" s="1"/>
  <c r="L113" i="19"/>
  <c r="G113" i="19"/>
  <c r="G107" i="19"/>
  <c r="L107" i="19"/>
  <c r="F89" i="19"/>
  <c r="L89" i="19"/>
  <c r="F116" i="19"/>
  <c r="L116" i="19"/>
  <c r="G89" i="19"/>
  <c r="G98" i="19" l="1"/>
  <c r="L98" i="19"/>
  <c r="I98" i="19"/>
  <c r="I128" i="19"/>
  <c r="I132" i="19" s="1"/>
  <c r="I133" i="19" s="1"/>
  <c r="I134" i="19" s="1"/>
  <c r="H98" i="19"/>
  <c r="H128" i="19"/>
  <c r="H132" i="19" s="1"/>
  <c r="H133" i="19" s="1"/>
  <c r="H134" i="19" s="1"/>
  <c r="J98" i="19"/>
  <c r="J128" i="19"/>
  <c r="J132" i="19" s="1"/>
  <c r="J133" i="19" s="1"/>
  <c r="J134" i="19" s="1"/>
  <c r="G128" i="19"/>
  <c r="G132" i="19" s="1"/>
  <c r="G133" i="19" s="1"/>
  <c r="G134" i="19" s="1"/>
  <c r="D86" i="19"/>
  <c r="H128" i="16"/>
  <c r="D130" i="19" l="1"/>
  <c r="E86" i="19" s="1"/>
  <c r="E125" i="19" l="1"/>
  <c r="E122" i="19"/>
  <c r="E110" i="19"/>
  <c r="E107" i="19"/>
  <c r="E89" i="19"/>
  <c r="E92" i="19"/>
  <c r="E104" i="19"/>
  <c r="E119" i="19"/>
  <c r="D132" i="19"/>
  <c r="E95" i="19"/>
  <c r="E116" i="19"/>
  <c r="E101" i="19"/>
  <c r="E98" i="19"/>
  <c r="E113" i="19"/>
  <c r="H130" i="19"/>
  <c r="K130" i="19"/>
  <c r="G130" i="19"/>
  <c r="J130" i="19"/>
  <c r="I130" i="19"/>
  <c r="F86" i="19"/>
  <c r="L86" i="19"/>
  <c r="L130" i="19" s="1"/>
  <c r="L132" i="19" s="1"/>
  <c r="L133" i="19" s="1"/>
  <c r="F128" i="19"/>
  <c r="E130" i="19" l="1"/>
  <c r="F130" i="19"/>
  <c r="F129" i="19"/>
  <c r="F132" i="19"/>
  <c r="F133" i="19" s="1"/>
  <c r="F134" i="19" s="1"/>
  <c r="L134" i="19" s="1"/>
  <c r="E132" i="19"/>
  <c r="D133" i="19"/>
  <c r="D134" i="19" s="1"/>
  <c r="F131" i="19" l="1"/>
  <c r="G129" i="19"/>
  <c r="H129" i="19" l="1"/>
  <c r="G131" i="19"/>
  <c r="I129" i="19" l="1"/>
  <c r="H131" i="19"/>
  <c r="J129" i="19" l="1"/>
  <c r="I131" i="19"/>
  <c r="K129" i="19" l="1"/>
  <c r="K131" i="19" s="1"/>
  <c r="J131" i="19"/>
</calcChain>
</file>

<file path=xl/sharedStrings.xml><?xml version="1.0" encoding="utf-8"?>
<sst xmlns="http://schemas.openxmlformats.org/spreadsheetml/2006/main" count="2006" uniqueCount="1390">
  <si>
    <t>Pintura esmalte em portas em madeira</t>
  </si>
  <si>
    <t>Tratamento em verniz em rodameio de madeira</t>
  </si>
  <si>
    <t>Pintura esmalte em esquadrias e grades de ferro</t>
  </si>
  <si>
    <t>Bancadas e balcões em granito Cinza Andorinha</t>
  </si>
  <si>
    <t>Prateleiras em granito Cinza Andorinha</t>
  </si>
  <si>
    <t>Rodamão em granito h=10cm Cinza Andorinha</t>
  </si>
  <si>
    <t>Acabamento de bordas em bancadas e balcões de Cinza Andorinha</t>
  </si>
  <si>
    <t>Acabamento de armários e escaninhos de Cinza Andorinha</t>
  </si>
  <si>
    <t>Acabamento de prateleiras de Cinza Andorinha</t>
  </si>
  <si>
    <t>Guarda-corpos metalico castelo d'água h=120cm</t>
  </si>
  <si>
    <t>Plataforma metalica de transição das escadas do castelo d'água</t>
  </si>
  <si>
    <t>06.01.415</t>
  </si>
  <si>
    <t xml:space="preserve">Fixadores </t>
  </si>
  <si>
    <t>Parafuso e bucha S6</t>
  </si>
  <si>
    <t>Suspensão simples para tirante 1/4"</t>
  </si>
  <si>
    <t>Suspensão para luminária</t>
  </si>
  <si>
    <t>Porca sextavada e arruela lisa 1/4"</t>
  </si>
  <si>
    <t>07.04.200</t>
  </si>
  <si>
    <t>REDE DE DUTOS</t>
  </si>
  <si>
    <t>07.04.300</t>
  </si>
  <si>
    <t>EQUIPAMENTOS AUXILIARES</t>
  </si>
  <si>
    <t>07.04.400</t>
  </si>
  <si>
    <t>Subtotal item 07.04.000</t>
  </si>
  <si>
    <t xml:space="preserve">Vergalhão rosca total 1/4"  </t>
  </si>
  <si>
    <t>TUBULAÇÕES DE AÇO CARBONO E CONEXÕES DE FERRO MALEÁVEL</t>
  </si>
  <si>
    <t xml:space="preserve">07.07.101 </t>
  </si>
  <si>
    <t>Tubo de aço sem costura SCH-40 ASTM A-106, diâmetro 3/4"</t>
  </si>
  <si>
    <t>Tubo de aço sem costura SCH-40 ASTM A-106, diâmetro 1/2"</t>
  </si>
  <si>
    <t xml:space="preserve">07.07.103 </t>
  </si>
  <si>
    <t xml:space="preserve">Tê de redução NPT classe 300, roscável, diâmetro 3/4"x1/2" </t>
  </si>
  <si>
    <t xml:space="preserve">07.07.104 </t>
  </si>
  <si>
    <t>Redução</t>
  </si>
  <si>
    <t xml:space="preserve">Luva de redução FG NPT classe 300, roscável, diâmetro 3/4"x1/2" </t>
  </si>
  <si>
    <t xml:space="preserve">Luva de redução FG NPT classe 300, roscável, diâmetro 1/2"x1/4" </t>
  </si>
  <si>
    <t>07.07.107</t>
  </si>
  <si>
    <t>04.01.100</t>
  </si>
  <si>
    <t>PAREDES E DIVISÓRIAS</t>
  </si>
  <si>
    <r>
      <t>Duto para exaustão de ar ø 19,5 cm chapa galvanizada ( 4 kg/m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</si>
  <si>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Duto para exaustão de ar ø 40 cm chapa galvanizada ( 4 kg/m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</si>
  <si>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Divisórias em granito</t>
  </si>
  <si>
    <t>Portas</t>
  </si>
  <si>
    <t>Janelas</t>
  </si>
  <si>
    <t>Grades e portões</t>
  </si>
  <si>
    <t>VIDROS</t>
  </si>
  <si>
    <t>COBERTURA</t>
  </si>
  <si>
    <t>Estrutura em madeira para cobertura</t>
  </si>
  <si>
    <t>Cumeeiras/Espigões</t>
  </si>
  <si>
    <t>IMPERMEABILIZAÇÃO</t>
  </si>
  <si>
    <t>Impermeabilização de calhas (piso)</t>
  </si>
  <si>
    <t>Paredes</t>
  </si>
  <si>
    <t>Cerâmica 20x20</t>
  </si>
  <si>
    <t>Rejuntamento de cerâmica 20x20</t>
  </si>
  <si>
    <t>Tetos</t>
  </si>
  <si>
    <t>Custo total (R$):</t>
  </si>
  <si>
    <t>Paredes e fachadas</t>
  </si>
  <si>
    <t>Cerâmica 10x10</t>
  </si>
  <si>
    <t>Rejuntamento de cerâmica 10x10</t>
  </si>
  <si>
    <t>PAVIMENTAÇÃO</t>
  </si>
  <si>
    <t>Bloco de concreto intertravado</t>
  </si>
  <si>
    <t>Calha de concreto com grelhas</t>
  </si>
  <si>
    <t>SOLEIRAS, RODAPÉS E PEITORIS</t>
  </si>
  <si>
    <t>Soleiras em granito e=15cm</t>
  </si>
  <si>
    <t>Rejuntamento de rodapés de cerâmica</t>
  </si>
  <si>
    <t>Rodameio de madeira L=10cm</t>
  </si>
  <si>
    <t>PINTURA</t>
  </si>
  <si>
    <t>Paredes internas</t>
  </si>
  <si>
    <t>Pintura acrílica c/ massa corrida</t>
  </si>
  <si>
    <t>Pintura PVA</t>
  </si>
  <si>
    <t>Paredes externas</t>
  </si>
  <si>
    <t>Pintura PVA c/ massa corrida</t>
  </si>
  <si>
    <t>Outros</t>
  </si>
  <si>
    <t>Barras de proteção c=300cm h=45cm</t>
  </si>
  <si>
    <t>Escadas metálicas do castelo d'água com proteção</t>
  </si>
  <si>
    <t>cj.</t>
  </si>
  <si>
    <t>Bancos de concreto da administração</t>
  </si>
  <si>
    <t>Bancos de concreto do pátio</t>
  </si>
  <si>
    <t>Mastros para bandeiras</t>
  </si>
  <si>
    <t>Quadro negro</t>
  </si>
  <si>
    <t>Alçapão de acesso à caixa d'água</t>
  </si>
  <si>
    <t>SERVIÇOS FINAIS</t>
  </si>
  <si>
    <t>Limpeza final da obra</t>
  </si>
  <si>
    <t>Niple NPT classe 300, diâmetro 3/4"</t>
  </si>
  <si>
    <t>Niple NPT classe 300, diâmetro 1/2"</t>
  </si>
  <si>
    <t>07.07.111</t>
  </si>
  <si>
    <t>Meia luva</t>
  </si>
  <si>
    <t>Meia luva com assento para solda NPT classe 300, diâmetro 3/4"</t>
  </si>
  <si>
    <t>07.07.113</t>
  </si>
  <si>
    <t>União NPT classe 300, diâmetro 3/4"</t>
  </si>
  <si>
    <t>07.07.114</t>
  </si>
  <si>
    <t>Cotovelo</t>
  </si>
  <si>
    <t>Cotovelo FG NPT classe 300, diâmetro 3/4"</t>
  </si>
  <si>
    <t>Cotovelo FG NPT classe 300, diâmetro 1/2"</t>
  </si>
  <si>
    <t>07.07.117</t>
  </si>
  <si>
    <t>Válvula</t>
  </si>
  <si>
    <t>Válvula esfera NPT classe 300, diâmetro 3/4"</t>
  </si>
  <si>
    <t>07.07.119</t>
  </si>
  <si>
    <t>Tampão</t>
  </si>
  <si>
    <t>Tampão NPT classe 300, diâmetro 3/4"</t>
  </si>
  <si>
    <t>Tampão NPT classe 300, diâmetro 1/4"</t>
  </si>
  <si>
    <t xml:space="preserve">07.07.300 </t>
  </si>
  <si>
    <t>07.07.302</t>
  </si>
  <si>
    <t>Pig Tail</t>
  </si>
  <si>
    <t>Pig tail flexível de borracha para botijão P45</t>
  </si>
  <si>
    <t>07.07.303</t>
  </si>
  <si>
    <t>Regulador</t>
  </si>
  <si>
    <t>Regulador de 1° estágio, NPT, com manômetro, diâmetro 1/2"</t>
  </si>
  <si>
    <t>03.02.000</t>
  </si>
  <si>
    <t>ESTRUTURAS DE CONCRETO</t>
  </si>
  <si>
    <t>03.02.100</t>
  </si>
  <si>
    <t>Concreto Armado</t>
  </si>
  <si>
    <t>Formas</t>
  </si>
  <si>
    <t>m²</t>
  </si>
  <si>
    <t>Armadura</t>
  </si>
  <si>
    <t>Concreto 25 Mpa</t>
  </si>
  <si>
    <t>m³</t>
  </si>
  <si>
    <t>03.02.170</t>
  </si>
  <si>
    <t>Caixas d'água</t>
  </si>
  <si>
    <t xml:space="preserve">06.09.005  </t>
  </si>
  <si>
    <t xml:space="preserve">06.09.007 </t>
  </si>
  <si>
    <t>07.00.000</t>
  </si>
  <si>
    <t>INSTALAÇÕES MECÂNICAS E DE UTILIDADES</t>
  </si>
  <si>
    <t>07.02.000</t>
  </si>
  <si>
    <t>AR CONDICIONADO CENTRAL</t>
  </si>
  <si>
    <t>Subtotal item 05.01.500</t>
  </si>
  <si>
    <t>Subtotal item 05.03.900</t>
  </si>
  <si>
    <t>Subtotal item 06.01.222</t>
  </si>
  <si>
    <t>Subtotal item 06.01.403</t>
  </si>
  <si>
    <t>Subtotal item 06.01.415</t>
  </si>
  <si>
    <t xml:space="preserve">Subtotal item 06.01.404 </t>
  </si>
  <si>
    <t>Subtotal item 06.01.500</t>
  </si>
  <si>
    <t>Subtotal item 06.09.001</t>
  </si>
  <si>
    <t>Subtotal item 06.09.009</t>
  </si>
  <si>
    <t>Subtotal item 06.09.012</t>
  </si>
  <si>
    <t xml:space="preserve">Eletrodutos e Acessórios </t>
  </si>
  <si>
    <t>Subtotal item 05.01.600</t>
  </si>
  <si>
    <t>Subtotal item 06.01.400</t>
  </si>
  <si>
    <t>Subtotal item 05.01.700</t>
  </si>
  <si>
    <t/>
  </si>
  <si>
    <t>07.04.000</t>
  </si>
  <si>
    <t>VENTILAÇÃO MECÂNICA</t>
  </si>
  <si>
    <t>07.02.700</t>
  </si>
  <si>
    <t>Gaiola anti-furto em aço para aparelho condicionador de janela 30 kBTU/h</t>
  </si>
  <si>
    <t>Gaiola anti-furto em aço para aparelho condicionador de janela 21 kBTU/h</t>
  </si>
  <si>
    <t>Gaiola anti-furto em aço para aparelho condicionador de janela 10 kBTU/h</t>
  </si>
  <si>
    <t>Cerâmica</t>
  </si>
  <si>
    <t>Rejuntamento de cerâmica</t>
  </si>
  <si>
    <t>Rodapé em cerâmica</t>
  </si>
  <si>
    <t>Subtotal item 03.02.000</t>
  </si>
  <si>
    <t>Buchas de redução</t>
  </si>
  <si>
    <t>Joelhos</t>
  </si>
  <si>
    <t>Regulador de 2° estágio, baixa pressão, NPT com registro</t>
  </si>
  <si>
    <t>07.07.304</t>
  </si>
  <si>
    <t>Registro</t>
  </si>
  <si>
    <t>Registro de linha NPT 1/2" x SAE 3/8"</t>
  </si>
  <si>
    <t>07.07.305</t>
  </si>
  <si>
    <t>Manômetro</t>
  </si>
  <si>
    <t>Manômetro com caixa em aço carbono, 0-300 psi, NPT entrada 1/4"</t>
  </si>
  <si>
    <t>07.07.306</t>
  </si>
  <si>
    <t>Braçadeira</t>
  </si>
  <si>
    <t>Braçadeira metálica tipo ômega para tubo diâmetro 3/4"</t>
  </si>
  <si>
    <t>m</t>
  </si>
  <si>
    <t>kg</t>
  </si>
  <si>
    <t>ITEM</t>
  </si>
  <si>
    <t>UNID.</t>
  </si>
  <si>
    <t>FUNDAÇÕES</t>
  </si>
  <si>
    <t>pç</t>
  </si>
  <si>
    <t>ACESSÓRIOS</t>
  </si>
  <si>
    <t>EQUIPAMENTOS E ACESSÓRIOS</t>
  </si>
  <si>
    <t xml:space="preserve">05.01.200 </t>
  </si>
  <si>
    <t>TUBULAÇÕES E CONEXÕES DE PVC RÍGIDO</t>
  </si>
  <si>
    <t xml:space="preserve">05.01.201 </t>
  </si>
  <si>
    <t>Tubo</t>
  </si>
  <si>
    <t>un</t>
  </si>
  <si>
    <t>Bucha de redução</t>
  </si>
  <si>
    <t xml:space="preserve">Bucha de  redução, PVC soldável, diâmetro 60x32mm </t>
  </si>
  <si>
    <t xml:space="preserve">Bucha de  redução, PVC soldável, diâmetro 85x60mm </t>
  </si>
  <si>
    <t>Joelho</t>
  </si>
  <si>
    <t>Luva</t>
  </si>
  <si>
    <t>Tê</t>
  </si>
  <si>
    <t>União</t>
  </si>
  <si>
    <t>05.01.500</t>
  </si>
  <si>
    <t>Lavatório individual com coluna suspensa, cor branca</t>
  </si>
  <si>
    <t>Cuba de embutir oval grande, cor branca</t>
  </si>
  <si>
    <t>Cuba de embutir redonda pequena, cor branca</t>
  </si>
  <si>
    <t>Bacia sifonada com abertura frontal, cor branca</t>
  </si>
  <si>
    <t>Bacia sifonada infantil, cor branca</t>
  </si>
  <si>
    <t>Bacia sifonada sem abertura frontal, cor branca</t>
  </si>
  <si>
    <t>Assento para bacia com abertura frontal, cor branca</t>
  </si>
  <si>
    <t>Assento para bacia infantil, cor branca</t>
  </si>
  <si>
    <t>Assento para bacia sem abertura frontal, cor branca</t>
  </si>
  <si>
    <t>Cuba para pia de aço inox, 625x505x300mm, acabamento alto brilho</t>
  </si>
  <si>
    <t>Cuba para pia de aço inox, 560x340x140mm, acabamento polido</t>
  </si>
  <si>
    <t>Tanque duplo com capacidade de 27+30 litros, acabamento alto brilho, 1200x550mm</t>
  </si>
  <si>
    <t>Torneira de mesa, bica alta</t>
  </si>
  <si>
    <t>Torneira de parede</t>
  </si>
  <si>
    <t>Torneira de mesa, bica baixa</t>
  </si>
  <si>
    <t>Torneira elétrica, 5500W</t>
  </si>
  <si>
    <t>Torneira de parede, bica móvel</t>
  </si>
  <si>
    <t>Torneira de mesa, bica móvel</t>
  </si>
  <si>
    <t>Torneira para uso geral</t>
  </si>
  <si>
    <t>Torneira para jardim/mangueira</t>
  </si>
  <si>
    <t>Torneira de bóia, diâmetro 25mm</t>
  </si>
  <si>
    <t>Registro de gaveta bruto, diâmetro 3/4"</t>
  </si>
  <si>
    <t>Registro de gaveta com canopla, diâmetro 3/4"</t>
  </si>
  <si>
    <t>Registro de gaveta com canopla, diâmetro 1"</t>
  </si>
  <si>
    <t>Ligação flexível metálica para lavatório de 1/2"</t>
  </si>
  <si>
    <t>Ligação flexível metálica para pia de 3/4"</t>
  </si>
  <si>
    <t>Ducha elétrica com desviador, 5500W, cor branca</t>
  </si>
  <si>
    <t>OBRA:</t>
  </si>
  <si>
    <t>MODALIDADE DE EXECUÇÃO: REGIME GLOBAL</t>
  </si>
  <si>
    <t>PROP.:</t>
  </si>
  <si>
    <t>ESPECIFICAÇÃO</t>
  </si>
  <si>
    <t>QUANT</t>
  </si>
  <si>
    <t>BOLETIM SINAPI</t>
  </si>
  <si>
    <t>LOCAL: Rua Prof. Americo Pinto Brasil - Loteamento Balneário Nova Santo Antonio, Zona Urbana - Município de Santo Antonio de Leverger-MT</t>
  </si>
  <si>
    <t>1.0</t>
  </si>
  <si>
    <t>1.1</t>
  </si>
  <si>
    <t>2.0</t>
  </si>
  <si>
    <t>2.1</t>
  </si>
  <si>
    <t>2.1.2</t>
  </si>
  <si>
    <t>2.1.2.2</t>
  </si>
  <si>
    <t>3.0</t>
  </si>
  <si>
    <t>3.1</t>
  </si>
  <si>
    <t>5.0</t>
  </si>
  <si>
    <t>Ducha higiênica</t>
  </si>
  <si>
    <t>CANTEIRO DE OBRAS</t>
  </si>
  <si>
    <t>SERVIÇOS PRELIMINARES</t>
  </si>
  <si>
    <t>Coifa industrial simples de exaustão tipo "ilha" 60 x 90 com descarga centrada circular ø 19,5 cm</t>
  </si>
  <si>
    <t>Apoio simples ("berço") para tubulação horizontal de exaustão ø 40 cm</t>
  </si>
  <si>
    <t>Apoio simples ("berço") para tubulação horizontal de exaustão ø 19,5 cm</t>
  </si>
  <si>
    <t>Apoio simples ("berço") para tubulação vertical de exaustão ø 40 cm</t>
  </si>
  <si>
    <t>Divisórias em madeira com laminado com portas de 80x210cm</t>
  </si>
  <si>
    <t>Portas metálica  80x80cm veneziana  (Castelo D'água)</t>
  </si>
  <si>
    <t>Portões 90X110cm (cobogós)</t>
  </si>
  <si>
    <t>um</t>
  </si>
  <si>
    <t>Lavatórios em granito Cinza Andorinha</t>
  </si>
  <si>
    <t>Armários e escaninhos em granito Cinza Andorinha (A-01 ao  A-09)</t>
  </si>
  <si>
    <t>Acabamento de lavatórios  Cinza Andorinha</t>
  </si>
  <si>
    <t>Bancos retráteis para PNE</t>
  </si>
  <si>
    <t xml:space="preserve">Barras 90cm para PNE </t>
  </si>
  <si>
    <t>Barras 45 cm para PNE</t>
  </si>
  <si>
    <t>Telas em nylon</t>
  </si>
  <si>
    <t xml:space="preserve"> Veneziana metálica circular com diamêtro de 120 cm (Castelo D'água)</t>
  </si>
  <si>
    <t>Chuveiro elétrico, 5500W, acabamento cromado</t>
  </si>
  <si>
    <t>Válvula de descarga duplo acionamento p/ vaso sanitário de 1.1/2"</t>
  </si>
  <si>
    <t>Tubo de descarga VDE, série normal, diâmetro 38 mm</t>
  </si>
  <si>
    <t>Válvula de pé com crivo, 1.1/2"</t>
  </si>
  <si>
    <t>Válvula de retenção com portinhola de bronze, 1"</t>
  </si>
  <si>
    <t>Caixa em alvenaria 30x30 cm - CRG e CTD</t>
  </si>
  <si>
    <t>Caixa em alvenaria 100x160 cm para bombas</t>
  </si>
  <si>
    <t>Tampa de ferro fundido 30x30 cm - tipo leve</t>
  </si>
  <si>
    <t>Tampa de ferro fundido 60x60 cm - tipo leve</t>
  </si>
  <si>
    <t>Braçadeira metálica tipo ômega, diâmetro 25 mm</t>
  </si>
  <si>
    <t>Braçadeira metálica tipo ômega, diâmetro 32 mm</t>
  </si>
  <si>
    <t>Braçadeira metálica tipo ômega, diâmetro 40 mm</t>
  </si>
  <si>
    <t>Braçadeira metálica tipo ômega, diâmetro 50 mm</t>
  </si>
  <si>
    <t>Braçadeira metálica tipo ômega, diâmetro 85 mm</t>
  </si>
  <si>
    <t>05.01.600</t>
  </si>
  <si>
    <t>EQUIPAMENTOS</t>
  </si>
  <si>
    <t>Espelhos 4mm</t>
  </si>
  <si>
    <t>Caixa de brita 40x40cm</t>
  </si>
  <si>
    <t>Tampa de concreto 60x60cm para caixa de inspeção</t>
  </si>
  <si>
    <t>Tampa de concreto Ø60cm para poço de visita</t>
  </si>
  <si>
    <t>Fundação Castelo d'água - Estacas</t>
  </si>
  <si>
    <t>Portões 90X200cm (cobogós)</t>
  </si>
  <si>
    <t>Porta-sabonete líquido de parede</t>
  </si>
  <si>
    <t>Porta papel-toalha de parede</t>
  </si>
  <si>
    <t>Ducha elétrica 4000W com desviador</t>
  </si>
  <si>
    <t>Porta papel higiênico em louça de embutir</t>
  </si>
  <si>
    <t>Saboneteira em louça de embutir</t>
  </si>
  <si>
    <t>Cuba para pia de aço inox, 400x340x170mm, acabamento polido</t>
  </si>
  <si>
    <t>Caixa d'água pré-fabricada capacidade 15000 litros</t>
  </si>
  <si>
    <t>Calha de cobertura em PVC DN 130</t>
  </si>
  <si>
    <t>Calha de piso normal em PVC, cor branca, DN 130, 250cm x 129mm x 140mm</t>
  </si>
  <si>
    <t>Grelha para calha de piso normal em PVC, cor branca, DN 130, 500mm x 128mm x 20mm</t>
  </si>
  <si>
    <t>Conjunto moto-bomba com rotor em bronze, 3/4 cv, Hman=15mca, Q=5m³/h, 380 Volts, trifásica</t>
  </si>
  <si>
    <t>Automático de bóia nível máximo</t>
  </si>
  <si>
    <t>Automático de bóia nível mínimo</t>
  </si>
  <si>
    <t>TUBULAÇÕES E CONEXÕES DE FERRO GALVANIZADO</t>
  </si>
  <si>
    <t xml:space="preserve">05.01.701 </t>
  </si>
  <si>
    <t>Tubo FG roscável, diâmetro 3/4"</t>
  </si>
  <si>
    <t>Tubo FG roscável, diâmetro 1"</t>
  </si>
  <si>
    <t>Tubo FG roscável, diâmetro 1.1/2"</t>
  </si>
  <si>
    <t xml:space="preserve">05.01.703 </t>
  </si>
  <si>
    <t xml:space="preserve">Bucha de redução, FG roscável, diâmetro 1"x3/4" </t>
  </si>
  <si>
    <t xml:space="preserve">05.01.707 </t>
  </si>
  <si>
    <t>Joelho 90º FG roscável, diâmetro 3/4"</t>
  </si>
  <si>
    <t>Joelho 90º FG roscável, diâmetro 1.1/2"</t>
  </si>
  <si>
    <t>05.01.708</t>
  </si>
  <si>
    <t>Luva FG, F/F roscável, diâmetro 1"</t>
  </si>
  <si>
    <t>Luva FG, F/F roscável, diâmetro 1.1/2"</t>
  </si>
  <si>
    <t xml:space="preserve">05.01.709 </t>
  </si>
  <si>
    <t>Te 90º FG roscável, diâmetro 1.1/2"</t>
  </si>
  <si>
    <t>Te 90º FG roscável, diâmetro 1"</t>
  </si>
  <si>
    <t>Te 45º FG roscável, diâmetro 1"</t>
  </si>
  <si>
    <t xml:space="preserve">05.01.710 </t>
  </si>
  <si>
    <t>União FG roscável MF, diâmetro 1"</t>
  </si>
  <si>
    <t>União FG roscável MF, diâmetro 1.1/2"</t>
  </si>
  <si>
    <t>05.01.712</t>
  </si>
  <si>
    <t>Niple</t>
  </si>
  <si>
    <t>Calha de piso em PVC DN 130, com grelha</t>
  </si>
  <si>
    <t>Niple FG roscável diâmetro 1"</t>
  </si>
  <si>
    <t>Grelha</t>
  </si>
  <si>
    <t>06.01.500</t>
  </si>
  <si>
    <t>ATERRAMENTO E PROTEÇÃO CONTRA DESCARGAS ATMOSFÉRICAS</t>
  </si>
  <si>
    <t>06.01.501</t>
  </si>
  <si>
    <t>Captores</t>
  </si>
  <si>
    <t>Pára-raios, tipo Franklin</t>
  </si>
  <si>
    <t>Cordoalha de cobre nu, têmpera dura, 35mm²</t>
  </si>
  <si>
    <t xml:space="preserve">Barra de aço galvanizado, Ø10mm x 6,00m  </t>
  </si>
  <si>
    <t>06.01.502</t>
  </si>
  <si>
    <t>Conectores e Terminais</t>
  </si>
  <si>
    <t>Conector  de furo vertical, Ø10mm/cabo de 35 mm²</t>
  </si>
  <si>
    <t>Clips de aço galvanizado a fogo, Ø10mm</t>
  </si>
  <si>
    <t>06.01.503</t>
  </si>
  <si>
    <t>Cabos de Descida</t>
  </si>
  <si>
    <t>06.01.504</t>
  </si>
  <si>
    <t>Eletrodos de Terra</t>
  </si>
  <si>
    <t xml:space="preserve">Haste de aço revestida de camada de cobre, 200microns, no mínimo, Ø5/8" x 3,00m  </t>
  </si>
  <si>
    <t>Cordoalha de cobre nu , 50 mm²</t>
  </si>
  <si>
    <t>06.01.506</t>
  </si>
  <si>
    <t>Caixa de inspeção, PVC de 12", com tampa de aço galvanizado,conforme detalhe no projeto</t>
  </si>
  <si>
    <t xml:space="preserve">08.01.500 </t>
  </si>
  <si>
    <t>Extintor PQS tipo ABC - 6kg</t>
  </si>
  <si>
    <t>Suporte tipo L para extintor</t>
  </si>
  <si>
    <t>Suporte tipo bandeja para bloco autônomo de emergência (2x55W)</t>
  </si>
  <si>
    <t>Bloco autônomo 2x7W para iluminação de emergência nos ambientes</t>
  </si>
  <si>
    <t>Bloco autônomo 2x7W para saída de emergência, com indicação "SAÍDA"</t>
  </si>
  <si>
    <t>Bloco autônomo 2x55W para iluminação de emergência no pátio</t>
  </si>
  <si>
    <t>Sinalizador fotoluminescente de saída para direita</t>
  </si>
  <si>
    <t>Sinalizador fotoluminescente de saída para esquerda</t>
  </si>
  <si>
    <t>Sub-total item 09.00.000</t>
  </si>
  <si>
    <t>Sinalizador fotoluminescente para extintor</t>
  </si>
  <si>
    <t>Sinalizador fotoluminescente “Proibido Fumar”</t>
  </si>
  <si>
    <t>Sinalizador fotoluminescente “Proibido produzir chamas”</t>
  </si>
  <si>
    <t>Sinalizador fotoluminescente “Cuidado, risco de incêndio”</t>
  </si>
  <si>
    <t>Sinalizador fotoluminescente “Cuidado, risco de choque elétrico”</t>
  </si>
  <si>
    <t>05.03.300</t>
  </si>
  <si>
    <t>TUBULAÇÕES E CONEXÕES DE PVC</t>
  </si>
  <si>
    <t>05.03.900</t>
  </si>
  <si>
    <t>05.03.901</t>
  </si>
  <si>
    <t>Ralo hemisférico</t>
  </si>
  <si>
    <t>Ralo hemisférico (formato abacaxi) de ferro fundido, Ø150mm</t>
  </si>
  <si>
    <t>Ralo hemisférico (formato abacaxi) de ferro fundido, Ø100mm</t>
  </si>
  <si>
    <t>05.01.000</t>
  </si>
  <si>
    <t>ÁGUA FRIA</t>
  </si>
  <si>
    <t>05.03.000</t>
  </si>
  <si>
    <t>DRENAGEM DE ÁGUAS PLUVIAIS</t>
  </si>
  <si>
    <t>05.04.000</t>
  </si>
  <si>
    <t>06.00.000</t>
  </si>
  <si>
    <t>INSTALAÇÕES ELÉTRICAS E ELETRÔNICAS</t>
  </si>
  <si>
    <t>06.01.000</t>
  </si>
  <si>
    <t>INSTALAÇÕES ELÉTRICAS</t>
  </si>
  <si>
    <t>06.09.000</t>
  </si>
  <si>
    <t>INSTALAÇÕES DE REDE ESTRUTURADA</t>
  </si>
  <si>
    <t>GÁS COMBUSTÍVEL</t>
  </si>
  <si>
    <t xml:space="preserve">08.01.000 </t>
  </si>
  <si>
    <t>INSTALAÇÕES DE COMBATE E PREVENÇÃO A INCÊNDIO</t>
  </si>
  <si>
    <t>07.07.000</t>
  </si>
  <si>
    <t>07.07.100</t>
  </si>
  <si>
    <t>05.03.903</t>
  </si>
  <si>
    <t>Caixa de passagem</t>
  </si>
  <si>
    <t>Grelha de ferro fundido 40x40cm, tipo leve, para caixa de ralo</t>
  </si>
  <si>
    <t>04.01.310</t>
  </si>
  <si>
    <t>05.03.904</t>
  </si>
  <si>
    <t>Poço de visita</t>
  </si>
  <si>
    <t>Poço de visita em alvenaria com fundo em concreto, 110x110cm</t>
  </si>
  <si>
    <t>05.03.905</t>
  </si>
  <si>
    <t>Tampa para inspeção</t>
  </si>
  <si>
    <t>Chapa de aço galvanizado aparafusável, 15x15cm, para inspeção em alvenaria</t>
  </si>
  <si>
    <t>09.00.000</t>
  </si>
  <si>
    <t xml:space="preserve">un </t>
  </si>
  <si>
    <t>06.09.002</t>
  </si>
  <si>
    <t>Equipamentos Passivos</t>
  </si>
  <si>
    <t>Patch Panel 19"  - 24 portas, Categoria 6</t>
  </si>
  <si>
    <t>Bloco 110 para rack 19” 100 pares 1,75” de altura</t>
  </si>
  <si>
    <t xml:space="preserve">Guia de Cabos Frontal, fechado </t>
  </si>
  <si>
    <t>Guia de Cabos Traseiro</t>
  </si>
  <si>
    <t>Trava Path Panel</t>
  </si>
  <si>
    <t xml:space="preserve">Guia de Cabos Vertical, fechado </t>
  </si>
  <si>
    <t xml:space="preserve">Guia de Cabos Superior, fechado </t>
  </si>
  <si>
    <t>06.09.003</t>
  </si>
  <si>
    <t xml:space="preserve">Cabos em par trançados </t>
  </si>
  <si>
    <t>Cabo par trançado não blindado (UTP)-4 pares 24 AWG,100 Ohms - Categoria 6</t>
  </si>
  <si>
    <t>Cabo telefônico interno CI-50, 20 pares</t>
  </si>
  <si>
    <t>Cabos de Conexão</t>
  </si>
  <si>
    <t>Cabos de conexões – Patch Cord ultra flexível com RJ 45 nas 2 pontas - 1,50 metros</t>
  </si>
  <si>
    <t>Cabos de conexões – Patch Cord ultra flexível com RJ 45 em 1 ponta - 1,50 metros</t>
  </si>
  <si>
    <t>Cabos de conexões – Patch Cord (Azul) ultra flexível com RJ 45 nas 2 pontas - 3,00 metros</t>
  </si>
  <si>
    <t>Cabos de conexões – Patch cord 110 / RJ-45 1 par -1,50m</t>
  </si>
  <si>
    <t>06.09.006</t>
  </si>
  <si>
    <t xml:space="preserve">Tomadas </t>
  </si>
  <si>
    <t>Tomada modular RJ-45 Categoria 6</t>
  </si>
  <si>
    <t>Conector de TV Tipo F (Coaxial)</t>
  </si>
  <si>
    <t>Caixas e acessórios</t>
  </si>
  <si>
    <t xml:space="preserve">Condulete metálico, tipo C, para eletroduto de ponta lisa, Ø 3/4" </t>
  </si>
  <si>
    <t>Caixa subterrânea em alvenaria, tipo R1,60x35x50cm, com tampão em ferro fundido</t>
  </si>
  <si>
    <t>Tampa para condulete metálico com espaço para 2 módulos RJ-45</t>
  </si>
  <si>
    <t>Espelho para caixa 4x2" com espaço para 2 módulos RJ-45</t>
  </si>
  <si>
    <t>Tampa para condulete metálico com espaço uma tomada tipo F</t>
  </si>
  <si>
    <t>Espelho para caixa 4x2" com espaço uma tomada tipo F (Cabo coaxial de TV)</t>
  </si>
  <si>
    <t>Saída Vertical p/ eletrodutos, Ø3/4"</t>
  </si>
  <si>
    <t>06.09.008</t>
  </si>
  <si>
    <t>Ø 1"</t>
  </si>
  <si>
    <t>Ø 3/4"</t>
  </si>
  <si>
    <t>Eletroduto de aço galvanizado a quente, tipo pesado</t>
  </si>
  <si>
    <t>Eletroduto de aço galvanizado a quente, tipo pesado, rosqueável</t>
  </si>
  <si>
    <t>Abraçadeira de aço galvanizado a quente, tipo "D", para eletrodutos</t>
  </si>
  <si>
    <t>Chumbador CBA com parafuso e arruela lisa, Ø1/4"X2"</t>
  </si>
  <si>
    <t>Bucha S/8</t>
  </si>
  <si>
    <t>Parafuso, rosca soberba, cabeça sextavada, 1/4"x2", aço galvanizado</t>
  </si>
  <si>
    <t>Porca sextavada, aço galvanizado a quente, Ø1/4"</t>
  </si>
  <si>
    <t>Arruela lisa, aço galvanizado a quente, Ø1/4"</t>
  </si>
  <si>
    <t>06.09.009</t>
  </si>
  <si>
    <t>Rufos de concreto</t>
  </si>
  <si>
    <t xml:space="preserve">Eletrocalhas, Perfilados e Acessórios </t>
  </si>
  <si>
    <t>Eletrocalha com virola (perfil "C"), lisa, em aço galvanizado a quente, com tampa, chapa #18 MSG, 100x50x3000mm</t>
  </si>
  <si>
    <t>Curva Horizontal 90°, lisa, com tampa,100x50mm</t>
  </si>
  <si>
    <t>Te Vertical de Descida, liso, com tampa,100x50mm</t>
  </si>
  <si>
    <t>Te Horizontal 90°, liso, com tampa,100x50mm</t>
  </si>
  <si>
    <t>Terminal de fechamento, 100x50mm</t>
  </si>
  <si>
    <t>Junção Simples, 50mm</t>
  </si>
  <si>
    <t>Mão Francesa, 38x38x210 mm</t>
  </si>
  <si>
    <t>Parafuso cabeça lentilha, com fenda, Ø1/4"</t>
  </si>
  <si>
    <t>Parafuso cabeça lentilha, autotravante, Ø1/4"</t>
  </si>
  <si>
    <t>Suspensão ômega, 100x50mm</t>
  </si>
  <si>
    <t>Porca losangular com mola, Ø1/4"</t>
  </si>
  <si>
    <t>Vergalhão rosca total (tirante),em aço galvanizado a quente, Ø1/4"x3000mm</t>
  </si>
  <si>
    <t>Arruela lisa, em aço galvanizado a quente, Ø1/4"</t>
  </si>
  <si>
    <t>06.09.010</t>
  </si>
  <si>
    <t>Dutos de passagem e Acessórios</t>
  </si>
  <si>
    <t>06.09.013</t>
  </si>
  <si>
    <t>Teste de desempenho dos pontos lógicos (voz e dados)</t>
  </si>
  <si>
    <t>Pontos lógicos, categoria 6</t>
  </si>
  <si>
    <t>(*) OBS.: QUANTITATIVOS COMUM AS INSTALAÇÕES ELÉTRICAS e LÓGICAS</t>
  </si>
  <si>
    <t>06.01.222</t>
  </si>
  <si>
    <t>Haste para aterramento</t>
  </si>
  <si>
    <r>
      <t xml:space="preserve">Boca de ar tipo saída para descarga horizontal com filtro em tela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40 cm</t>
    </r>
  </si>
  <si>
    <r>
      <t xml:space="preserve">Conexão tipo curva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19,5 cm</t>
    </r>
  </si>
  <si>
    <r>
      <t xml:space="preserve">Conexão tipo curva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40 cm</t>
    </r>
  </si>
  <si>
    <t>06.01.302</t>
  </si>
  <si>
    <t>Quadros de Força</t>
  </si>
  <si>
    <t>06.01.303</t>
  </si>
  <si>
    <t>Centro de distribuição de iluminação e tomadas</t>
  </si>
  <si>
    <t>06.01.304</t>
  </si>
  <si>
    <t xml:space="preserve">Eletroduto de Aço Galvanizado, tipo pesado, entradas lisas,   Ø 3/4"x 3,00 m                      </t>
  </si>
  <si>
    <t>06.01.305</t>
  </si>
  <si>
    <t>Cabos e Fios(condutores)</t>
  </si>
  <si>
    <t>Condutor de cobre unipolar, isolação em PVC/70ºC, camada de proteção em PVC, não propagador de chamas, classe de tensão 750V, encordoamento classe 5, flexível, com as seguintes seções nominais:</t>
  </si>
  <si>
    <t>#2,5mm2</t>
  </si>
  <si>
    <t>#4mm2</t>
  </si>
  <si>
    <t>#6mm2</t>
  </si>
  <si>
    <t>Tubo FG roscável, diâmetro 3"</t>
  </si>
  <si>
    <t>Joelho 90º FG roscável, diâmetro 3"</t>
  </si>
  <si>
    <t>Condutor de cobre unipolar, isolação em PVC/70ºC, camada de proteção em PVC, não propagador de chamas, classe de tensão 1 kV, encordoamento classe 5, flexível, com as seguintes seções nominais:</t>
  </si>
  <si>
    <t>#16mm2</t>
  </si>
  <si>
    <t>#25mm2</t>
  </si>
  <si>
    <t>Cabo tripolar, condutor de cobre, isolação em PVC/70°C, não propagador de chama, classe de tensão, encordoamento classe 5, flexível, com as seguintes seções nominais:</t>
  </si>
  <si>
    <t>3x1,5mm2</t>
  </si>
  <si>
    <t>3x2,5mm2</t>
  </si>
  <si>
    <t>06.01.306</t>
  </si>
  <si>
    <t>Caixas de Passagem</t>
  </si>
  <si>
    <t>Condulete metálico, entradas lisas, tipo T, Ø3/4”.</t>
  </si>
  <si>
    <t>Condulete metálico, entradas lisas, tipo C, Ø3/4”.</t>
  </si>
  <si>
    <t>Condulete metálico, entradas lisas, tipo E, Ø3/4”.</t>
  </si>
  <si>
    <t>Condulete metálico, entradas lisas, tipo X, Ø3/4”.</t>
  </si>
  <si>
    <t>Condulete metálico, entradas lisas, tipo LR, Ø3/4”.</t>
  </si>
  <si>
    <t>Tampa para condulete metálico com entrada para tomada 2P+T</t>
  </si>
  <si>
    <t xml:space="preserve">Tampa cega para condulete metálico. </t>
  </si>
  <si>
    <t>Tampa para condulete metálico com furo</t>
  </si>
  <si>
    <t>Caixa de passagem metálica, quadrada, 20x20” com tampa</t>
  </si>
  <si>
    <t>Caixa de passagem 20x20cm em alvenaria com tampa</t>
  </si>
  <si>
    <t>Caixa de passagem 40x40cm em alvenaria com tampa</t>
  </si>
  <si>
    <t>06.01.307</t>
  </si>
  <si>
    <t>Chaves com Fusíveis</t>
  </si>
  <si>
    <t>Subtotal item 07.07.000</t>
  </si>
  <si>
    <t>Subtotal item 08.01.000</t>
  </si>
  <si>
    <t>04.01.300</t>
  </si>
  <si>
    <t>Esquadria de Madeira</t>
  </si>
  <si>
    <t>ESQUADRIAS</t>
  </si>
  <si>
    <t>Esquadria Metálica</t>
  </si>
  <si>
    <t>Sub-total item 04.01.100</t>
  </si>
  <si>
    <t>Sub-total item 04.01.310</t>
  </si>
  <si>
    <t>04.01.320</t>
  </si>
  <si>
    <t>Sub-total item 04.01.320</t>
  </si>
  <si>
    <t>04.01.400</t>
  </si>
  <si>
    <t>Sub-total item 04.01.400</t>
  </si>
  <si>
    <t>04.01.500</t>
  </si>
  <si>
    <t>Sub-total item 04.01.500</t>
  </si>
  <si>
    <t>04.01.600</t>
  </si>
  <si>
    <t>Sub-total item 04.01.600</t>
  </si>
  <si>
    <t>04.01.700</t>
  </si>
  <si>
    <t>REVESTIMENTO</t>
  </si>
  <si>
    <t>Revestimento Interno</t>
  </si>
  <si>
    <t>04.01.710</t>
  </si>
  <si>
    <t>Revestimento Externo</t>
  </si>
  <si>
    <t>Sub-total item 04.01.710</t>
  </si>
  <si>
    <t>04.01.720</t>
  </si>
  <si>
    <t>Sub-total item  04.01.720</t>
  </si>
  <si>
    <t>04.01.730</t>
  </si>
  <si>
    <t>Sub-total item 04.01.730</t>
  </si>
  <si>
    <t>04.01.740</t>
  </si>
  <si>
    <t>Sub-total item 04.01.740</t>
  </si>
  <si>
    <t>04.01.750</t>
  </si>
  <si>
    <t>Sub-total item 04.01.750</t>
  </si>
  <si>
    <t>04.01.800</t>
  </si>
  <si>
    <t>Sub-total item 04.01.800</t>
  </si>
  <si>
    <t>04.01.000</t>
  </si>
  <si>
    <t>ARQUITETURA</t>
  </si>
  <si>
    <r>
      <t>m</t>
    </r>
    <r>
      <rPr>
        <vertAlign val="superscript"/>
        <sz val="10"/>
        <rFont val="Arial"/>
        <family val="2"/>
      </rPr>
      <t>3</t>
    </r>
  </si>
  <si>
    <t>06.01.308</t>
  </si>
  <si>
    <t>Disjuntores</t>
  </si>
  <si>
    <t>Joelho 90º FG roscável, diâmetro 1"</t>
  </si>
  <si>
    <t>Dispositivo de Proteção contra Surtos (DPS), monopolar, tensão nominal máxima 275 VCA, corrente de surto máxima 40kA</t>
  </si>
  <si>
    <t>06.01.400</t>
  </si>
  <si>
    <t>Iluminação e Tomadas</t>
  </si>
  <si>
    <t>06.01.401</t>
  </si>
  <si>
    <t>Luminárias</t>
  </si>
  <si>
    <t xml:space="preserve">Arandela completa com uma lâmpada incandescente de 60W comandada por dimmer. </t>
  </si>
  <si>
    <t>Arandela completa com uma lâmpada fluorescente compacta de 20W.</t>
  </si>
  <si>
    <t xml:space="preserve">Projetor completo com uma lâmpada a vapor metálico de 250W, ignitor e reator eletrônico de alta freqüência, alto fator de potência e baixa taxa de distorção harmônica (FP &gt; 0,92 e THD &lt; 10%). </t>
  </si>
  <si>
    <t>Impermeabilização do castelo d'água</t>
  </si>
  <si>
    <t xml:space="preserve">Projetor completo com uma lâmpada a vapor metálico de 150W, ignitor e reator eletrônico de alta freqüência, alto fator de potência e baixa taxa de distorção harmônica (FP &gt; 0,92 e THD &lt; 10%). </t>
  </si>
  <si>
    <t>06.01.403</t>
  </si>
  <si>
    <t xml:space="preserve">Interruptores </t>
  </si>
  <si>
    <t>05.03.906</t>
  </si>
  <si>
    <t>FUNDAÇÕES E ESTRUTURAS</t>
  </si>
  <si>
    <t>04.00.000</t>
  </si>
  <si>
    <t>ARQUITETURA E ELEMENTOS DE URBANISMO</t>
  </si>
  <si>
    <t>05.00.000</t>
  </si>
  <si>
    <t>INSTALAÇÕES HIDRÁULICAS E SANITÁRIAS</t>
  </si>
  <si>
    <t>06.01.404</t>
  </si>
  <si>
    <t>05.04.300</t>
  </si>
  <si>
    <t>05.04.301</t>
  </si>
  <si>
    <t>05.04.310</t>
  </si>
  <si>
    <t>05.04.311</t>
  </si>
  <si>
    <t>05.04.314</t>
  </si>
  <si>
    <t>05.04.316</t>
  </si>
  <si>
    <t>05.04.804</t>
  </si>
  <si>
    <t>05.04.805</t>
  </si>
  <si>
    <t>05.04.806</t>
  </si>
  <si>
    <t>05.04.807</t>
  </si>
  <si>
    <t>05.04.808</t>
  </si>
  <si>
    <t>TUBOS E CONEXÕES DE PVC</t>
  </si>
  <si>
    <t>Ligação para saída de vaso sanitário</t>
  </si>
  <si>
    <t>Adaptador para saída de vaso sanitário série N 100mm</t>
  </si>
  <si>
    <t>Vedação para saída de vaso sanitário</t>
  </si>
  <si>
    <t>PM-7 - porta com visor 80 x 210 cm</t>
  </si>
  <si>
    <t>PM-3 - porta com barra de proteção 80 x 210 cm</t>
  </si>
  <si>
    <t>PM-8 - porta com veneziana 80 x 210 cm</t>
  </si>
  <si>
    <t>PM-04a - porta comum p/ divisórias de granito 60 x 180 cm</t>
  </si>
  <si>
    <t>PM-04b - porta comum p/ divisórias de granito 60 x 60 cm e guiches</t>
  </si>
  <si>
    <t>Vidro laminado de fechamento - parte superior dos fundos do pátio central e=10mm (somente em regiões frias)</t>
  </si>
  <si>
    <t xml:space="preserve">Caixa de inspeção tipo solo em PVC, com tampa de ferro de 30cm. </t>
  </si>
  <si>
    <t xml:space="preserve">Conector em bronze para conecção de dois cabos com a haste. </t>
  </si>
  <si>
    <t xml:space="preserve">Quadro de distribuição de embutir, 24 módulos (2x12) completo com barramentos 150A, placa de montagem, porta interna e perfis verticais com trilhos DIN para fixação de acessórios. </t>
  </si>
  <si>
    <t xml:space="preserve">Eletroduto metálico flexível, Ø3/4” </t>
  </si>
  <si>
    <t xml:space="preserve">Controle do reservatório inferior, composto por chave nível tipo bóia, com haste móvel e contatos reversíveis (NA,NF).  </t>
  </si>
  <si>
    <t>Mini-Disjuntor monopolar, tipo 5Sx1, curva C, 20A</t>
  </si>
  <si>
    <t>Mini-Disjuntor monopolar, tipo 5Sx1, curva C, 25A</t>
  </si>
  <si>
    <t>Mini-Disjuntor tripolar, tipo 5Sx2, curva C, 32A</t>
  </si>
  <si>
    <t>Mini-Disjuntor tripolar, tipo 5Sx2, curva C, 50A</t>
  </si>
  <si>
    <t>Mini-Disjuntor tripolar, tipo 5Sx1, curva C, 80A</t>
  </si>
  <si>
    <t>Interruptor simples, 10A, 250V</t>
  </si>
  <si>
    <t>Interruptor 2 seções, 10A por seção, 250V</t>
  </si>
  <si>
    <t>Interruptor 3 seções, 10A por seção, 250V</t>
  </si>
  <si>
    <t>Interruptor paralelo (three way) 1 seção, 10A por seção, 250V</t>
  </si>
  <si>
    <t>Interruptor paralelo (three way) 2 seções, 10A por seção, 250V</t>
  </si>
  <si>
    <t>Interruptor paralelo (three way) 3 seções, 10A por seção, 250V</t>
  </si>
  <si>
    <t xml:space="preserve">Variador de luminosidade rotativo (dimmer) 220V/300W com espelho. </t>
  </si>
  <si>
    <t xml:space="preserve">Espelho 4x2" com entrada para interruptor simples. </t>
  </si>
  <si>
    <t xml:space="preserve">Espelho 4x2" com entrada para interruptor de 2 seções. </t>
  </si>
  <si>
    <t xml:space="preserve">Espelho 4x2" com entrada para interruptor de 3 seções. </t>
  </si>
  <si>
    <t xml:space="preserve">Espelho 4x4" com entrada para dois módulos de interruptores de 3 seções. </t>
  </si>
  <si>
    <t xml:space="preserve">Tomada universal, quadrada, 2P+T, 15A/250V, cor preta. </t>
  </si>
  <si>
    <t xml:space="preserve">Tomada universal, circular, 3P, 20A/250V, cor preta. </t>
  </si>
  <si>
    <t xml:space="preserve">Espelho com entrada para tomada circular 2P+T. </t>
  </si>
  <si>
    <t xml:space="preserve">Espelho com furo. </t>
  </si>
  <si>
    <t>Caixa de sobrepor, em aço estampado com pintura eletrostática à base de epoxi, na cor cinza, com fundo de madeira de lei envernizada, porta com trinco e fechadura, 80X80X20cm</t>
  </si>
  <si>
    <t xml:space="preserve">Caixa - 4x2" - aço estampado e esmaltado </t>
  </si>
  <si>
    <t>Eletrodutos metálicos ultra-flexíveis aspirado:</t>
  </si>
  <si>
    <t>Eletroduto de PEAD flexível corrugado</t>
  </si>
  <si>
    <t>Box reto ø3/4" em alumínio</t>
  </si>
  <si>
    <t>Perfil base sem tampa em aço 129 x 44 x 2000mm (*)</t>
  </si>
  <si>
    <t>Divisor “L” 2000mm. (*)</t>
  </si>
  <si>
    <t>Tampa perfil acabamento na cor bege 1000mm. (*)</t>
  </si>
  <si>
    <t>Derivação "L" (*)</t>
  </si>
  <si>
    <t>Fixa cabo(*)</t>
  </si>
  <si>
    <t>Terminal (*)</t>
  </si>
  <si>
    <t>Suporte de tomada tipo RJ, 2 furos, bege</t>
  </si>
  <si>
    <t>#10mm2</t>
  </si>
  <si>
    <t>Vedação para saída de vaso sanitário série N 100mm</t>
  </si>
  <si>
    <t>Adaptadores para sifão</t>
  </si>
  <si>
    <t>Adaptador para válvula de pia, lavatório, tanque e bebedouro série N 40x1"</t>
  </si>
  <si>
    <t>Grelha redonda de alumínio 150mm</t>
  </si>
  <si>
    <t>Grelha redonda de alumínio 100mm</t>
  </si>
  <si>
    <t>Grelha redonda escamoteável em aço inox, cromada, com caixilho 150mm</t>
  </si>
  <si>
    <t>Grelha redonda escamoteável em aço inox, cromada, com caixilho 100mm</t>
  </si>
  <si>
    <t>Antiespuma 150mm</t>
  </si>
  <si>
    <t>Caixa de inspeção</t>
  </si>
  <si>
    <t>Tampa cega redonda de aluminio 250mm</t>
  </si>
  <si>
    <t>Porta grelha redondo cromado 250mm</t>
  </si>
  <si>
    <t>Porta grelha redondo cromado 150mm</t>
  </si>
  <si>
    <t>Porta grelha redondo cromado 100mm</t>
  </si>
  <si>
    <t>Caixa de gordura</t>
  </si>
  <si>
    <t>Subtotal item 07.02.000</t>
  </si>
  <si>
    <r>
      <t xml:space="preserve">Conexão alargadora de seção (expansão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19,5 / ø 40 cm)</t>
    </r>
  </si>
  <si>
    <t>Abraçadeira simples para duto de exaustão ø 40 cm</t>
  </si>
  <si>
    <t>Tampa de ferro fundido 60x60 cm, tipo leve, para caixas de gordura dupla e especial</t>
  </si>
  <si>
    <t>Terminal de ventilação</t>
  </si>
  <si>
    <t>Caixa de inspeção em alvenaria</t>
  </si>
  <si>
    <t>Tampa de ferro fundido tipo leve 60x60cm para caixa de inspeção</t>
  </si>
  <si>
    <t>Poço de visita em alvenaria com fundo em concreto, 110x110 cm</t>
  </si>
  <si>
    <t>Tampa de ferro fundido tipo pesado Ø60cm para poço de visita</t>
  </si>
  <si>
    <t>Subtotal item 05.04.300</t>
  </si>
  <si>
    <t>Grades e portões h=210cm</t>
  </si>
  <si>
    <t>Telhas cerämicas</t>
  </si>
  <si>
    <t>Telhas de vidro</t>
  </si>
  <si>
    <t>Pintura acrílica s/ massa corrida</t>
  </si>
  <si>
    <t>3.1.1</t>
  </si>
  <si>
    <t>1.1.2</t>
  </si>
  <si>
    <t>1.1.3</t>
  </si>
  <si>
    <t>ud</t>
  </si>
  <si>
    <t>Reparo estrutural de estrutura de concreto com argamassa polimetrica de alto desempenho, e=2cm</t>
  </si>
  <si>
    <t xml:space="preserve">PREFEITURA MUNICIPAL DE SANTO ANTONIO DE LEVERGER-MT                                                           </t>
  </si>
  <si>
    <r>
      <t xml:space="preserve">Execução de Serviços/Obras de Execução </t>
    </r>
    <r>
      <rPr>
        <sz val="11"/>
        <rFont val="Arial"/>
        <family val="2"/>
      </rPr>
      <t>do Prédio da</t>
    </r>
    <r>
      <rPr>
        <b/>
        <sz val="11"/>
        <rFont val="Arial"/>
        <family val="2"/>
      </rPr>
      <t xml:space="preserve"> CRECHE - PRÓ-INFÂNCIA, </t>
    </r>
    <r>
      <rPr>
        <sz val="11"/>
        <rFont val="Arial"/>
        <family val="2"/>
      </rPr>
      <t xml:space="preserve">zona urbana, município de Santo Antonio de Leverger-MT. </t>
    </r>
    <r>
      <rPr>
        <b/>
        <sz val="11"/>
        <rFont val="Arial"/>
        <family val="2"/>
      </rPr>
      <t xml:space="preserve">   PREFEITURA</t>
    </r>
  </si>
  <si>
    <t>1.1.4</t>
  </si>
  <si>
    <t>1.1.5</t>
  </si>
  <si>
    <t>4.0</t>
  </si>
  <si>
    <t>4.1</t>
  </si>
  <si>
    <t>4.1.1</t>
  </si>
  <si>
    <t xml:space="preserve">MURO DIVISORIO EM ALVERANIA </t>
  </si>
  <si>
    <t>ALVENARIA</t>
  </si>
  <si>
    <t xml:space="preserve">ESTRUTURA  </t>
  </si>
  <si>
    <t>104,40</t>
  </si>
  <si>
    <t>189,60</t>
  </si>
  <si>
    <t>7.0</t>
  </si>
  <si>
    <t>REVESTIMENTOS DE PAREDES - REVESTIMENTOS E TRATAMENTOS SUPERFICIAIS</t>
  </si>
  <si>
    <t>7.1</t>
  </si>
  <si>
    <t>7.2</t>
  </si>
  <si>
    <t>8.0</t>
  </si>
  <si>
    <t>8.1</t>
  </si>
  <si>
    <t>1.1.6</t>
  </si>
  <si>
    <t>5.1.1</t>
  </si>
  <si>
    <t>5.1.1.1</t>
  </si>
  <si>
    <t>5.1.1.2</t>
  </si>
  <si>
    <t>5.1.1.3</t>
  </si>
  <si>
    <t>5.1.1.4</t>
  </si>
  <si>
    <t>5.2.1</t>
  </si>
  <si>
    <t>5.2.1.1</t>
  </si>
  <si>
    <t>5.2.1.2</t>
  </si>
  <si>
    <t>5.2.1.3</t>
  </si>
  <si>
    <t>5.3.1</t>
  </si>
  <si>
    <t>5.3.1.1</t>
  </si>
  <si>
    <t>397,4</t>
  </si>
  <si>
    <t>794,80</t>
  </si>
  <si>
    <t>4,44</t>
  </si>
  <si>
    <t>300</t>
  </si>
  <si>
    <t>150</t>
  </si>
  <si>
    <t>10</t>
  </si>
  <si>
    <t>3</t>
  </si>
  <si>
    <t>1</t>
  </si>
  <si>
    <t>32</t>
  </si>
  <si>
    <t>9</t>
  </si>
  <si>
    <t>APARELHOS E ACESSÓRIOS SANITÁRIOS (LOUÇAS E METAIS)</t>
  </si>
  <si>
    <t>5</t>
  </si>
  <si>
    <t>2</t>
  </si>
  <si>
    <t>11</t>
  </si>
  <si>
    <t>4</t>
  </si>
  <si>
    <t>280</t>
  </si>
  <si>
    <t>45</t>
  </si>
  <si>
    <t>34</t>
  </si>
  <si>
    <t>74209/001</t>
  </si>
  <si>
    <t>5970</t>
  </si>
  <si>
    <t>87520</t>
  </si>
  <si>
    <t>88489</t>
  </si>
  <si>
    <t>9.0</t>
  </si>
  <si>
    <t>9.1</t>
  </si>
  <si>
    <t>11.0</t>
  </si>
  <si>
    <t>11.1</t>
  </si>
  <si>
    <t>11.2</t>
  </si>
  <si>
    <t>12.0</t>
  </si>
  <si>
    <t>12.1</t>
  </si>
  <si>
    <t>13.0</t>
  </si>
  <si>
    <t>13.1</t>
  </si>
  <si>
    <t>14.0</t>
  </si>
  <si>
    <t>14.1</t>
  </si>
  <si>
    <t>14.2</t>
  </si>
  <si>
    <t>15.0</t>
  </si>
  <si>
    <t>15.1</t>
  </si>
  <si>
    <t>16.0</t>
  </si>
  <si>
    <t>16.1</t>
  </si>
  <si>
    <t>17.0</t>
  </si>
  <si>
    <t>17.1</t>
  </si>
  <si>
    <t>18.0</t>
  </si>
  <si>
    <t>18.1</t>
  </si>
  <si>
    <t>19.0</t>
  </si>
  <si>
    <t>19.1</t>
  </si>
  <si>
    <t>19.2</t>
  </si>
  <si>
    <t>19.3</t>
  </si>
  <si>
    <t>19.4</t>
  </si>
  <si>
    <t>20.0</t>
  </si>
  <si>
    <t>20.1</t>
  </si>
  <si>
    <t>20.1.1</t>
  </si>
  <si>
    <t>20.2</t>
  </si>
  <si>
    <t>20.2.1</t>
  </si>
  <si>
    <t>20.2.2</t>
  </si>
  <si>
    <t>20.3</t>
  </si>
  <si>
    <t>20.3.1</t>
  </si>
  <si>
    <t>21.0</t>
  </si>
  <si>
    <t>21.1</t>
  </si>
  <si>
    <t>ENTRADA PROVISORIA DE ENERGIA ELETRICA AEREA TRIFASICA 40A EM POSTE MADEIRA</t>
  </si>
  <si>
    <t>PLACA DE OBRA EM CHAPA DE ACO GALVANIZADO, conforme modelo do Governo Federal</t>
  </si>
  <si>
    <t>73948/016</t>
  </si>
  <si>
    <t>LIMPEZA MANUAL DO TERRENO (C/ RASPAGEM SUPERFICIAL)</t>
  </si>
  <si>
    <t>LIMPEZA DE SUPERFICIES COM JATO DE ALTA PRESSAO DE AR E AGUA</t>
  </si>
  <si>
    <t>73806/001</t>
  </si>
  <si>
    <t>ARMAÇÃO DE PILAR OU VIGA DE UMA ESTRUTURA CONVENCIONAL DE CONCRETO ARMADO EM UM EDIFÍCIO DE MÚLTIPLOS PAVIMENTOS UTILIZANDO AÇO CA-60 DE 5.0 MM - MONTAGEM. AF_12/2015</t>
  </si>
  <si>
    <t>CONCRETAGEM DE PILARES, FCK = 25 MPA, COM USO DE BALDES EM EDIFICAÇÃO COM SEÇÃO MÉDIA DE PILARES MENOR OU IGUAL A 0,25 M² - LANÇAMENTO, ADENSAMENTO E ACABAMENTO. AF_12/2015</t>
  </si>
  <si>
    <t>ESCAVAÇÃO MANUAL DE VALAS. AF_03/2016</t>
  </si>
  <si>
    <t>ARMAÇÃO DE PILAR OU VIGA DE UMA ESTRUTURA CONVENCIONAL DE CONCRETO ARMADO EM UM EDIFÍCIO DE MÚLTIPLOS PAVIMENTOS UTILIZANDO AÇO CA-50 DE 6.3 MM - MONTAGEM. AF_12/2015</t>
  </si>
  <si>
    <t>RETIRADA DE ESQUADRIAS (5 UNIDADES)</t>
  </si>
  <si>
    <t>KIT DE PORTA DE MADEIRA PARA PINTURA, SEMI-OCA (LEVE OU MÉDIA), PADRÃO MÉDIO, 80X210CM, ESPESSURA DE 3,5CM, ITENS INCLUSOS: DOBRADIÇAS, MONTAGEM E INSTALAÇÃO DO BATENTE, FECHADURA COM EXECUÇÃO DO FURO - FORNECIMENTO E INSTALAÇÃO. AF_08/2015</t>
  </si>
  <si>
    <t>KIT DE PORTA DE MADEIRA PARA PINTURA, SEMI-OCA (LEVE OU MÉDIA), PADRÃO MÉDIO, 60X210CM, ESPESSURA DE 3,5CM, ITENS INCLUSOS: DOBRADIÇAS, MONTAGEM E INSTALAÇÃO DO BATENTE, FECHADURA COM EXECUÇÃO DO FURO - FORNECIMENTO E INSTALAÇÃO. AF_08/2015</t>
  </si>
  <si>
    <t>FORMA TABUA PARA CONCRETO EM FUNDACAO, C/ REAPROVEITAMENTO 2X.</t>
  </si>
  <si>
    <t>ALVENARIA DE VEDAÇÃO DE BLOCOS CERÂMICOS FURADOS NA HORIZONTAL DE 9X19X19CM (ESPESSURA 9CM) DE PAREDES COM ÁREA LÍQUIDA MAIOR OU IGUAL A 6M² COM VÃOS E ARGAMASSA DE ASSENTAMENTO COM PREPARO MANUAL. AF_06/2014</t>
  </si>
  <si>
    <t>87878</t>
  </si>
  <si>
    <t>CHAPISCO APLICADO EM ALVENARIAS E ESTRUTURAS DE CONCRETO INTERNAS, COM COLHER DE PEDREIRO. ARGAMASSA TRAÇO 1:3 COM PREPARO MANUAL. AF_06/2014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</si>
  <si>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</si>
  <si>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</si>
  <si>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APLICAÇÃO MANUAL DE PINTURA COM TINTA LÁTEX ACRÍLICA EM PAREDES, DUAS DEMÃOS. AF_06/2014</t>
  </si>
  <si>
    <t>94219</t>
  </si>
  <si>
    <t>CUMEEIRA E ESPIGÃO PARA TELHA CERÂMICA EMBOÇADA COM ARGAMASSA TRAÇO 1:2:9 (CIMENTO, CAL E AREIA), PARA TELHADOS COM MAIS DE 2 ÁGUAS, INCLUSO TRANSPORTE VERTICAL. AF_06/2016</t>
  </si>
  <si>
    <t>IMPERMEABILIZACAO DE SUPERFICIE COM MANTA ASFALTICA (COM POLIMEROS TIPO APP), E=3 MM. - calhas (telhado)</t>
  </si>
  <si>
    <t>83737</t>
  </si>
  <si>
    <t>94287</t>
  </si>
  <si>
    <t>EXECUÇÃO DE RUFOS DE CONCRETO, MOLDADA IN LOCO EM TRECHO RETO, 30 CM BASE X 3,5 CM ALTURA. AF_06/2016</t>
  </si>
  <si>
    <t>88494</t>
  </si>
  <si>
    <t>APLICAÇÃO E LIXAMENTO DE MASSA LÁTEX EM PAREDES, UMA DEMÃO. AF_06/2014</t>
  </si>
  <si>
    <t>APLICAÇÃO E LIXAMENTO DE MASSA LÁTEX EM TETO, UMA DEMÃO. AF_06/2014</t>
  </si>
  <si>
    <t>88488</t>
  </si>
  <si>
    <t>APLICAÇÃO MANUAL DE PINTURA COM TINTA LÁTEX ACRÍLICA EM TETO, DUAS DEMÃOS. AF_06/2014</t>
  </si>
  <si>
    <t>91927</t>
  </si>
  <si>
    <t>CABO DE COBRE FLEXÍVEL ISOLADO, 2,5 MM², ANTI-CHAMA 0,6/1,0 KV, PARA CIRCUITOS TERMINAIS - FORNECIMENTO E INSTALAÇÃO. AF_12/2015</t>
  </si>
  <si>
    <t>91941</t>
  </si>
  <si>
    <t>CAIXA RETANGULAR 4" X 2" MÉDIA (1,30 M DO PISO), PVC, INSTALADA EM PAREDE - FORNECIMENTO E INSTALAÇÃO. AF_12/2015</t>
  </si>
  <si>
    <t>92871</t>
  </si>
  <si>
    <t>CAIXA RETANGULAR 4" X 4" MÉDIA (1,30 M DO PISO), METÁLICA, INSTALADA EM PAREDE - FORNECIMENTO E INSTALAÇÃO. AF_12/2015</t>
  </si>
  <si>
    <t>73798</t>
  </si>
  <si>
    <t>DUTOS DE POLIESTER DE ALTA DENSIDADE(PEAD)</t>
  </si>
  <si>
    <t>DUTO ESPIRAL FLEXIVEL SINGELO PEAD D=100MM(4") REVESTIDO COM PVC COM FIO GUIA DE ACO GALVANIZADO, LANCADO DIRETO NO SOLO, INCL CONEXOES</t>
  </si>
  <si>
    <t>DESCRIÇÃO</t>
  </si>
  <si>
    <t>BUCHA DE REDUÇÃO, PVC, SOLDÁVEL, DN 60MM X 32MM, INSTALADO EM RAMAL OU SUB-RAMAL DE ÁGUA   FORNECIMENTO E INSTALAÇÃO. AF_03/2015_P</t>
  </si>
  <si>
    <t>BUCHA DE REDUÇÃO, PVC, SOLDÁVEL, DN 85MM X 60MM, INSTALADO EM RAMAL OU SUB-RAMAL DE ÁGUA   FORNECIMENTO E INSTALAÇÃO. AF_03/2015_P</t>
  </si>
  <si>
    <t>Composição</t>
  </si>
  <si>
    <t>JOELHO 90 GRAUS COM BUCHA DE LATÃO, PVC, SOLDÁVEL, DN 25MM, X 1/2 INSTALADO EM RAMAL OU SUB-RAMAL DE ÁGUA   FORNECIMENTO E INSTALAÇÃO . AF_12/2014_P</t>
  </si>
  <si>
    <t>REGISTRO GAVETA COM ACABAMENTO E CANOPLA CROMADOS, SIMPLES, BITOLA 3/4 ", FORNECIDO E INSTALADO EM RAMAL DE ÁGUA. AF_12/2014</t>
  </si>
  <si>
    <t>94792</t>
  </si>
  <si>
    <t>REGISTRO DE GAVETA BRUTO, LATÃO, ROSCÁVEL, 1, COM ACABAMENTO E CANOPLA CROMADOS, INSTALADO EM RESERVAÇÃO DE ÁGUA DE EDIFICAÇÃO QUE POSSUA RESERVATÓRIO DE FIBRA/FIBROCIMENTO  FORNECIMENTO E INSTALAÇÃO. AF_06/2016</t>
  </si>
  <si>
    <t>40729</t>
  </si>
  <si>
    <t>VALVULA DESCARGA 1.1/2" COM REGISTRO, ACABAMENTO EM METAL CROMADO - FORNECIMENTO E INSTALACAO</t>
  </si>
  <si>
    <t>72929</t>
  </si>
  <si>
    <t>CORDOALHA DE COBRE NU, INCLUSIVE ISOLADORES - 35,00 MM2 - FORNECIMENTO E INSTALACAO</t>
  </si>
  <si>
    <t>20.2.3</t>
  </si>
  <si>
    <t>9.2</t>
  </si>
  <si>
    <t>10.0</t>
  </si>
  <si>
    <t>10.1</t>
  </si>
  <si>
    <t>10.2</t>
  </si>
  <si>
    <t>83732</t>
  </si>
  <si>
    <t>IMPERMEABILIZACAO DE SUPERFICIE COM ARGAMASSA DE CIMENTO E AREIA, TRACO 1:3, COM ADITIVO IMPERMEABILIZANTE, E=1,5 CM</t>
  </si>
  <si>
    <t>CONECTOR PARAFUSO FENDIDO SPLIT-BOLT - PARA CABO DE 35MM2 - FORNECIMENTO E INSTALACAO</t>
  </si>
  <si>
    <t>72262</t>
  </si>
  <si>
    <t>TERMINAL OU CONECTOR DE PRESSAO - PARA CABO 35MM2 - FORNECIMENTO E INSTALACAO</t>
  </si>
  <si>
    <t>Limpeza de obra - necessária pra recomeçar a obra</t>
  </si>
  <si>
    <t>TUBO BENGALA PVC DE EMBUTIR - FORNECIMENTO E INSTALACAO</t>
  </si>
  <si>
    <t>72930</t>
  </si>
  <si>
    <t>CORDOALHA DE COBRE NU, INCLUSIVE ISOLADORES - 50,00 MM2 - FORNECIMENTO E INSTALACAO</t>
  </si>
  <si>
    <t>HASTE COPPERWELD 5/8 X 3,0M COM CONECTOR</t>
  </si>
  <si>
    <t>CONECTOR DE PARAFUSO FENDIDO EM LIGA DE COBRE COM SEPARADOR DE CABOS PARA CABO 50 MM2 - FORNECIMENTO E INSTALACAO</t>
  </si>
  <si>
    <t>83377</t>
  </si>
  <si>
    <t>94559</t>
  </si>
  <si>
    <t>JANELA DE AÇO BASCULANTE, FIXAÇÃO COM ARGAMASSA, SEM VIDROS, PADRONIZADA. AF_07/2016</t>
  </si>
  <si>
    <t>68069</t>
  </si>
  <si>
    <t>TERMINAL AEREO EM ACO GALVANIZADO COM BASE DE FIXACAO H = 30CM</t>
  </si>
  <si>
    <t>73916/002</t>
  </si>
  <si>
    <t>PLACA DE IDENTIFICAÇÃO</t>
  </si>
  <si>
    <t>DATA: Novembro/2016</t>
  </si>
  <si>
    <t>11.3</t>
  </si>
  <si>
    <t>11.4</t>
  </si>
  <si>
    <t>13.0.1</t>
  </si>
  <si>
    <t>13.1.1</t>
  </si>
  <si>
    <t>13.1.2</t>
  </si>
  <si>
    <t>13.2</t>
  </si>
  <si>
    <t>13.2.1</t>
  </si>
  <si>
    <t>13.2.2</t>
  </si>
  <si>
    <t>14.0.1</t>
  </si>
  <si>
    <t>14.0.2</t>
  </si>
  <si>
    <t>Subtotal item 13</t>
  </si>
  <si>
    <t>14.1.1</t>
  </si>
  <si>
    <t>14.2.1</t>
  </si>
  <si>
    <t>14.3</t>
  </si>
  <si>
    <t>14.3.1</t>
  </si>
  <si>
    <t>14.3.2</t>
  </si>
  <si>
    <t>14.3.3</t>
  </si>
  <si>
    <t>14.3.4</t>
  </si>
  <si>
    <t>Subtotal item 14</t>
  </si>
  <si>
    <t>Subtotal item 20</t>
  </si>
  <si>
    <t>Subtotal item 21</t>
  </si>
  <si>
    <t>Subtotal item 1</t>
  </si>
  <si>
    <t>Subtotal item 2</t>
  </si>
  <si>
    <t>Subtotal item 3</t>
  </si>
  <si>
    <t>Subtotal item 4</t>
  </si>
  <si>
    <t>Subtotal item 5</t>
  </si>
  <si>
    <t>Subtotal item 7</t>
  </si>
  <si>
    <t>Subtotal item 8</t>
  </si>
  <si>
    <t>Subtotal item 9</t>
  </si>
  <si>
    <t>Subtotal item 10</t>
  </si>
  <si>
    <t>Subtotal item 11</t>
  </si>
  <si>
    <r>
      <t xml:space="preserve">P L A N I L H A    O R Ç A M E N T Á R I A - </t>
    </r>
    <r>
      <rPr>
        <b/>
        <sz val="12"/>
        <rFont val="Castellar"/>
        <family val="1"/>
      </rPr>
      <t>união</t>
    </r>
  </si>
  <si>
    <r>
      <t xml:space="preserve">Execução de Serviços/Obras de Execução </t>
    </r>
    <r>
      <rPr>
        <sz val="11"/>
        <rFont val="Arial"/>
        <family val="2"/>
      </rPr>
      <t>do Prédio da</t>
    </r>
    <r>
      <rPr>
        <b/>
        <sz val="11"/>
        <rFont val="Arial"/>
        <family val="2"/>
      </rPr>
      <t xml:space="preserve"> CRECHE - PRÓ-INFÂNCIA, </t>
    </r>
    <r>
      <rPr>
        <sz val="11"/>
        <rFont val="Arial"/>
        <family val="2"/>
      </rPr>
      <t xml:space="preserve">zona urbana, município de Santo Antonio de Leverger-MT. </t>
    </r>
    <r>
      <rPr>
        <b/>
        <sz val="11"/>
        <rFont val="Arial"/>
        <family val="2"/>
      </rPr>
      <t xml:space="preserve">   </t>
    </r>
  </si>
  <si>
    <t xml:space="preserve">VALOR </t>
  </si>
  <si>
    <t xml:space="preserve">SUB </t>
  </si>
  <si>
    <t>UNITÁRIO</t>
  </si>
  <si>
    <t xml:space="preserve"> TOTAL</t>
  </si>
  <si>
    <t>TOTAIS</t>
  </si>
  <si>
    <t xml:space="preserve">                       -   </t>
  </si>
  <si>
    <t>3.1.4</t>
  </si>
  <si>
    <t>3.1.4.1</t>
  </si>
  <si>
    <t>3.1.4.2</t>
  </si>
  <si>
    <t>3.1.4.3</t>
  </si>
  <si>
    <t>4.1.1.6</t>
  </si>
  <si>
    <t>4.1.1.7</t>
  </si>
  <si>
    <t>5.1</t>
  </si>
  <si>
    <t>5.1.1.6</t>
  </si>
  <si>
    <t>5.1.1.7</t>
  </si>
  <si>
    <t>5.2</t>
  </si>
  <si>
    <t>5.2.2</t>
  </si>
  <si>
    <t>5.2.2.14</t>
  </si>
  <si>
    <t>5.2.2.15</t>
  </si>
  <si>
    <t>5.2.2.16</t>
  </si>
  <si>
    <t>5.2.2.17</t>
  </si>
  <si>
    <t>5.2.2.18</t>
  </si>
  <si>
    <t>5.2.2.19</t>
  </si>
  <si>
    <t>6.0</t>
  </si>
  <si>
    <t>6.2</t>
  </si>
  <si>
    <t>6.3</t>
  </si>
  <si>
    <t>7.3</t>
  </si>
  <si>
    <t>7.4</t>
  </si>
  <si>
    <t>7.6</t>
  </si>
  <si>
    <t>8.2</t>
  </si>
  <si>
    <t>8.3</t>
  </si>
  <si>
    <t>9.1.1</t>
  </si>
  <si>
    <t>9.1.1.3</t>
  </si>
  <si>
    <t>9.1.1.4</t>
  </si>
  <si>
    <t>9.2.1</t>
  </si>
  <si>
    <t>9.2.1.4</t>
  </si>
  <si>
    <t>9.2.1.5</t>
  </si>
  <si>
    <t>10.3</t>
  </si>
  <si>
    <t>10.4</t>
  </si>
  <si>
    <t>10.5</t>
  </si>
  <si>
    <t>10.8</t>
  </si>
  <si>
    <t>12.1.1</t>
  </si>
  <si>
    <t>12.2</t>
  </si>
  <si>
    <t>12.2.1</t>
  </si>
  <si>
    <t>12.3</t>
  </si>
  <si>
    <t>12.3.1</t>
  </si>
  <si>
    <t>12.4</t>
  </si>
  <si>
    <t>12.4.1</t>
  </si>
  <si>
    <t>12.4.2</t>
  </si>
  <si>
    <t>12.4.3</t>
  </si>
  <si>
    <t>13.1.1.2</t>
  </si>
  <si>
    <t>13.1.1.3</t>
  </si>
  <si>
    <t>13.3</t>
  </si>
  <si>
    <t>13.3.1</t>
  </si>
  <si>
    <t>Quadro de medição completo com TC(transformador de corrente) para medição em baixa tensão, compatível com disjuntor trifásico geral de entrada de 500A, padrão da concessionária local.</t>
  </si>
  <si>
    <t>Subtotal item 06.01.302</t>
  </si>
  <si>
    <t>13.4</t>
  </si>
  <si>
    <t>13.4.1</t>
  </si>
  <si>
    <t>Subtotal item 06.01.303</t>
  </si>
  <si>
    <t>13.5</t>
  </si>
  <si>
    <r>
      <t>Eletrodutos e Acessórios</t>
    </r>
    <r>
      <rPr>
        <sz val="10"/>
        <rFont val="Arial"/>
        <family val="2"/>
      </rPr>
      <t xml:space="preserve"> </t>
    </r>
  </si>
  <si>
    <t>13.5.1</t>
  </si>
  <si>
    <t>13.5.4</t>
  </si>
  <si>
    <t>13.5.11</t>
  </si>
  <si>
    <t>Abraçadeira de aço galvanizado,  Ø 3/4”, tipo "copo"</t>
  </si>
  <si>
    <t>13.5.12</t>
  </si>
  <si>
    <t>Abraçadeira de aço galvanizado,  Ø 1”, tipo "copo"</t>
  </si>
  <si>
    <t>Subtotal item 06.01.304</t>
  </si>
  <si>
    <t>13.6</t>
  </si>
  <si>
    <t>13.6.1</t>
  </si>
  <si>
    <t>13.6.1.1</t>
  </si>
  <si>
    <t>13.6.1.2</t>
  </si>
  <si>
    <t>13.6.1.3</t>
  </si>
  <si>
    <t>13.6.2</t>
  </si>
  <si>
    <t>13.6.2.1</t>
  </si>
  <si>
    <t>13.6.2.2</t>
  </si>
  <si>
    <t>13.6.2.3</t>
  </si>
  <si>
    <t>13.6.2.4</t>
  </si>
  <si>
    <t>13.6.2.5</t>
  </si>
  <si>
    <t>#35mm2</t>
  </si>
  <si>
    <t>13.6.2.6</t>
  </si>
  <si>
    <t>#50mm2</t>
  </si>
  <si>
    <t>13.6.3</t>
  </si>
  <si>
    <t>13.6.3.1</t>
  </si>
  <si>
    <t>13.6.3.2</t>
  </si>
  <si>
    <t>Subtotal item 06.01.305</t>
  </si>
  <si>
    <t>13.6.4</t>
  </si>
  <si>
    <t>13.6.4.1</t>
  </si>
  <si>
    <t>13.6.4.2</t>
  </si>
  <si>
    <t>13.6.4.3</t>
  </si>
  <si>
    <t>13.6.4.4</t>
  </si>
  <si>
    <t>13.6.4.5</t>
  </si>
  <si>
    <t>13.6.4.6</t>
  </si>
  <si>
    <t>13.6.4.7</t>
  </si>
  <si>
    <t>13.6.4.8</t>
  </si>
  <si>
    <t>13.6.4.11</t>
  </si>
  <si>
    <t>13.6.4.12</t>
  </si>
  <si>
    <t>13.6.4.13</t>
  </si>
  <si>
    <t>Subtotal item 06.01.306</t>
  </si>
  <si>
    <t>13.6.5</t>
  </si>
  <si>
    <t>13.6.5.1</t>
  </si>
  <si>
    <t xml:space="preserve">Base-fusível completa (com tampa, anel de proteção e parafuso de ajuste), fusíveis diazed de 10A. </t>
  </si>
  <si>
    <t>13.6.5.2</t>
  </si>
  <si>
    <t xml:space="preserve">Base-fusível completa (com tampa, anel de proteção e parafuso de ajuste), fusíveis diazed de 6A. </t>
  </si>
  <si>
    <t>13.6.5.3</t>
  </si>
  <si>
    <t>Relé térmico de sobrecarga 1,8A a 2,5A</t>
  </si>
  <si>
    <t>13.6.5.4</t>
  </si>
  <si>
    <t xml:space="preserve">Contator de potência, bobina 110V/60Hz. </t>
  </si>
  <si>
    <t>13.6.5.5</t>
  </si>
  <si>
    <t>Alarme sonoro, 110V/60Hz, com frequência tonal diferente do alarme contra incêndio.</t>
  </si>
  <si>
    <t>13.6.5.6</t>
  </si>
  <si>
    <t>Controle do reservatório superior, composto por chave nível tipo bóia, com haste móvel e contatos reversíveis (NA,NF).</t>
  </si>
  <si>
    <t>13.6.5.7</t>
  </si>
  <si>
    <t>13.6.5.8</t>
  </si>
  <si>
    <t xml:space="preserve">Alarme de extravasamento do reservatório inferior, composto por chave nível tipo bóia, com haste móvel e contatos reversíveis (NA,NF). </t>
  </si>
  <si>
    <t>13.6.5.9</t>
  </si>
  <si>
    <t xml:space="preserve">Comutador com retenção, ф 22mm, cor preta, 3 posições (zero central), com blocos de contato 2NA+2NF. </t>
  </si>
  <si>
    <t>13.6.5.10</t>
  </si>
  <si>
    <t xml:space="preserve">Comutador com retenção, ф22mm, cor preta, 2 posições, com blocos de contato 2NA+2NF
</t>
  </si>
  <si>
    <t>13.6.5.11</t>
  </si>
  <si>
    <t>Sinalizador luminoso, redondo, aro frontal pretonas cor vermelha (vm) com lâmpada neon/220V, soquete BA9S</t>
  </si>
  <si>
    <t>13.6.5.12</t>
  </si>
  <si>
    <t>Sinalizador luminoso, redondo, aro frontal pretonas cor âmbar (am) com lâmpada neon/110V, soquete BA9S</t>
  </si>
  <si>
    <t>Subtotal item 06.01.307</t>
  </si>
  <si>
    <t>13.6.6</t>
  </si>
  <si>
    <t>13.6.6.1</t>
  </si>
  <si>
    <t>13.6.6.2</t>
  </si>
  <si>
    <t>13.6.6.3</t>
  </si>
  <si>
    <t>Mini-Disjuntor bipolar, tipo 5Sx1, curva C, 20A</t>
  </si>
  <si>
    <t>13.6.6.4</t>
  </si>
  <si>
    <t>Mini-Disjuntor bipolar, tipo 5Sx1, curva C, 25A</t>
  </si>
  <si>
    <t>13.6.6.5</t>
  </si>
  <si>
    <t>Mini-Disjuntor tripolar, tipo 5Sx1, curva C, 15A</t>
  </si>
  <si>
    <t>13.6.6.6</t>
  </si>
  <si>
    <t>13.6.6.7</t>
  </si>
  <si>
    <t>13.6.6.8</t>
  </si>
  <si>
    <t>13.6.6.9</t>
  </si>
  <si>
    <t>Disjuntor tripolar, 3VF23-13, IN= 32A, Icu = 65 kA/220V</t>
  </si>
  <si>
    <t>13.6.6.10</t>
  </si>
  <si>
    <t>Disjuntor tripolar, 3VF23-13, IN= 50A, Icu = 65 kA/220V</t>
  </si>
  <si>
    <t>13.6.6.11</t>
  </si>
  <si>
    <t>Disjuntor tripolar, 3VF23-13, IN= 100A, Icu = 65 kA/220V</t>
  </si>
  <si>
    <t>13.6.6.12</t>
  </si>
  <si>
    <t>Disjuntor tripolar, 3VF23-13, IN= 125A, Icu = 65 kA/220V</t>
  </si>
  <si>
    <t>13.6.6.13</t>
  </si>
  <si>
    <t>Disjuntor tripolar tipo LFC3M450, IN= 350A, Icu = 65 kA/220V, tensão nominal máxima 240V</t>
  </si>
  <si>
    <t>13.6.6.14</t>
  </si>
  <si>
    <t>Módulo Diferencial Residual (DDR) de alta sensibilidade, bipolar, 25A com corrente nominal residual de 30mA.</t>
  </si>
  <si>
    <t>13.6.6.15</t>
  </si>
  <si>
    <t>Módulo Diferencial Residual (DDR) de alta sensibilidade, tetrapolar, 25A com corrente nominal residual de 30mA.</t>
  </si>
  <si>
    <t>13.6.6.16</t>
  </si>
  <si>
    <t>Subtotal item 06.01.308</t>
  </si>
  <si>
    <t>13.6.7</t>
  </si>
  <si>
    <t>13.6.7.1</t>
  </si>
  <si>
    <t>13.6.7.1.1</t>
  </si>
  <si>
    <t>Luminária de sobrepor completa com 2 lâmpadas fluorescentes tubulares de 32W com reator eletrônico duplo</t>
  </si>
  <si>
    <t>13.6.7.1.2</t>
  </si>
  <si>
    <t>Luminária de sobrepor completa com 2 lâmpadas fluorescentes tubulares de 16W com reator eletrônico duplo</t>
  </si>
  <si>
    <t>13.6.7.1.3</t>
  </si>
  <si>
    <t>13.6.7.1.4</t>
  </si>
  <si>
    <t>13.6.7.1.5</t>
  </si>
  <si>
    <t>13.6.7.1.6</t>
  </si>
  <si>
    <t>13.6.7.1.7</t>
  </si>
  <si>
    <t xml:space="preserve">Luminária de embutir em piso completa com uma lâmpada a vapor metálico de 70W, grau de proteção IP 65 (proteção hermética contra poeira e proteção contra jatos d´água), com ignitor e reator eletrônico de alta freqüência, alto fator de potência e baixa taxa de distorção harmônica (FP &gt; 0,92 e THD &lt; 10%). </t>
  </si>
  <si>
    <t>13.6.8</t>
  </si>
  <si>
    <t>13.6.8.1</t>
  </si>
  <si>
    <t>Interruptor simples para montagem em paineis, 8A/250V.</t>
  </si>
  <si>
    <t>13.6.8.2</t>
  </si>
  <si>
    <t>13.6.8.3</t>
  </si>
  <si>
    <t>13.6.8.4</t>
  </si>
  <si>
    <t>13.6.8.5</t>
  </si>
  <si>
    <t>13.6.8.6</t>
  </si>
  <si>
    <t>13.6.8.7</t>
  </si>
  <si>
    <t>13.6.8.8</t>
  </si>
  <si>
    <t>Suporte de interruptor simples para duto em aço perfil revestido com pintura em epóxi a pó.</t>
  </si>
  <si>
    <t>13.6.8.9</t>
  </si>
  <si>
    <t>13.6.8.10</t>
  </si>
  <si>
    <t>13.6.8.11</t>
  </si>
  <si>
    <t>13.6.8.12</t>
  </si>
  <si>
    <t>13.6.8.13</t>
  </si>
  <si>
    <t>13.6.8.14</t>
  </si>
  <si>
    <t>13.6.9</t>
  </si>
  <si>
    <t>13.6.9.1</t>
  </si>
  <si>
    <t>13.6.9.2</t>
  </si>
  <si>
    <t xml:space="preserve">Suporte de tomadas para duto em aço perfil revestido com pintura em epóxi a pó, com entrada para duas tomadas quadradas 2P+T. </t>
  </si>
  <si>
    <t>13.6.9.3</t>
  </si>
  <si>
    <t>Tomada universal, circular, 2P+T, 15A/250V, cor preta.</t>
  </si>
  <si>
    <t>13.6.9.4</t>
  </si>
  <si>
    <t>13.6.9.5</t>
  </si>
  <si>
    <t>13.6.9.6</t>
  </si>
  <si>
    <t>13.6.10</t>
  </si>
  <si>
    <t>13.6.10.1</t>
  </si>
  <si>
    <t xml:space="preserve">Chubadores 3/8"CBA </t>
  </si>
  <si>
    <t>13.6.10.2</t>
  </si>
  <si>
    <t>13.6.10.3</t>
  </si>
  <si>
    <t>13.6.10.4</t>
  </si>
  <si>
    <t>13.6.10.5</t>
  </si>
  <si>
    <t>13.6.10.6</t>
  </si>
  <si>
    <t>13.6.11</t>
  </si>
  <si>
    <t>13.6.11.1</t>
  </si>
  <si>
    <t>13.6.11.1.1</t>
  </si>
  <si>
    <t>13.6.11.1.2</t>
  </si>
  <si>
    <t>13.6.11.1.3</t>
  </si>
  <si>
    <t>13.6.11.1.4</t>
  </si>
  <si>
    <t>13.6.11.1.5</t>
  </si>
  <si>
    <t>13.6.11.1.6</t>
  </si>
  <si>
    <t>13.6.11.1.7</t>
  </si>
  <si>
    <t>13.6.13</t>
  </si>
  <si>
    <t>13.6.13.1</t>
  </si>
  <si>
    <t>13.6.13.2</t>
  </si>
  <si>
    <t>13.6.14</t>
  </si>
  <si>
    <t>13.6.14.1</t>
  </si>
  <si>
    <t>13.6.14.2</t>
  </si>
  <si>
    <t>13.6.14.3</t>
  </si>
  <si>
    <t>13.6.14.4</t>
  </si>
  <si>
    <t>13.6.15</t>
  </si>
  <si>
    <t>13.6.15.1</t>
  </si>
  <si>
    <t>13.6.15.2</t>
  </si>
  <si>
    <t>13.6.16</t>
  </si>
  <si>
    <t>13.6.16.1</t>
  </si>
  <si>
    <t>13.6.16.2</t>
  </si>
  <si>
    <t>13.6.16.3</t>
  </si>
  <si>
    <t>13.6.16.4</t>
  </si>
  <si>
    <t>13.6.16.5</t>
  </si>
  <si>
    <t>13.6.16.6</t>
  </si>
  <si>
    <t>13.6.16.7</t>
  </si>
  <si>
    <t>13.6.16.8</t>
  </si>
  <si>
    <t>13.6.17</t>
  </si>
  <si>
    <t>13.6.17.1</t>
  </si>
  <si>
    <t>13.6.17.2</t>
  </si>
  <si>
    <t>13.6.17.3</t>
  </si>
  <si>
    <t>13.6.17.4</t>
  </si>
  <si>
    <t>13.6.17.5</t>
  </si>
  <si>
    <t>13.6.17.6</t>
  </si>
  <si>
    <t>13.6.17.7</t>
  </si>
  <si>
    <t>13.6.17.8</t>
  </si>
  <si>
    <t>13.6.17.10</t>
  </si>
  <si>
    <t>13.6.17.11</t>
  </si>
  <si>
    <t>13.6.17.12</t>
  </si>
  <si>
    <t>13.6.17.13</t>
  </si>
  <si>
    <t>13.6.17.14</t>
  </si>
  <si>
    <t>13.6.17.15</t>
  </si>
  <si>
    <t>13.6.17.16</t>
  </si>
  <si>
    <t>13.6.18</t>
  </si>
  <si>
    <t>13.6.18.1</t>
  </si>
  <si>
    <t>13.6.18.2</t>
  </si>
  <si>
    <t>13.6.18.3</t>
  </si>
  <si>
    <t>13.6.18.4</t>
  </si>
  <si>
    <t>13.6.18.5</t>
  </si>
  <si>
    <t>13.6.18.6</t>
  </si>
  <si>
    <t>13.6.18.7</t>
  </si>
  <si>
    <t>13.6.18.8</t>
  </si>
  <si>
    <t>13.6.18.9</t>
  </si>
  <si>
    <t>13.6.18.10</t>
  </si>
  <si>
    <t>13.6.18.11</t>
  </si>
  <si>
    <t>13.6.18.12</t>
  </si>
  <si>
    <t>13.6.18.13</t>
  </si>
  <si>
    <t>13.6.18.14</t>
  </si>
  <si>
    <t>13.6.18.15</t>
  </si>
  <si>
    <t>13.6.19</t>
  </si>
  <si>
    <t>13.6.19.1</t>
  </si>
  <si>
    <t>13.6.19.2</t>
  </si>
  <si>
    <t>13.6.19.3</t>
  </si>
  <si>
    <t>13.6.19.4</t>
  </si>
  <si>
    <t>13.6.19.5</t>
  </si>
  <si>
    <t>13.6.19.6</t>
  </si>
  <si>
    <t>13.6.19.7</t>
  </si>
  <si>
    <t>13.6.20</t>
  </si>
  <si>
    <t>13.6.20.1</t>
  </si>
  <si>
    <t>14.1.1.3</t>
  </si>
  <si>
    <t>14.1.1.3.5</t>
  </si>
  <si>
    <t>14.1.1.3.7</t>
  </si>
  <si>
    <t>15.2</t>
  </si>
  <si>
    <t>15.3</t>
  </si>
  <si>
    <t>ESGOTOS SANITÁRIOS (INSTALAÇÃO SANITÁRIA)</t>
  </si>
  <si>
    <t>16.1.1</t>
  </si>
  <si>
    <t>16.1.7</t>
  </si>
  <si>
    <t>16.1.7.1</t>
  </si>
  <si>
    <t>16.1.8</t>
  </si>
  <si>
    <t>16.1.8.1</t>
  </si>
  <si>
    <t>16.1.9</t>
  </si>
  <si>
    <t>16.1.9.1</t>
  </si>
  <si>
    <t>16.1.10</t>
  </si>
  <si>
    <t>16.2.3</t>
  </si>
  <si>
    <t>16.2.3.1</t>
  </si>
  <si>
    <t>16.2.3.2</t>
  </si>
  <si>
    <t>16.2.3.3</t>
  </si>
  <si>
    <t>16.2.3.4</t>
  </si>
  <si>
    <t>16.2.3.5</t>
  </si>
  <si>
    <t>16.2.3.6</t>
  </si>
  <si>
    <t>16.2.3.7</t>
  </si>
  <si>
    <t>16.2.3.8</t>
  </si>
  <si>
    <t>16.2.3.9</t>
  </si>
  <si>
    <t>16.2.3.10</t>
  </si>
  <si>
    <t>16.2.3.11</t>
  </si>
  <si>
    <t>16.2.4</t>
  </si>
  <si>
    <t>16.2.4.3</t>
  </si>
  <si>
    <t>16.2.5</t>
  </si>
  <si>
    <t>16.2.6</t>
  </si>
  <si>
    <t>16.2.6.2</t>
  </si>
  <si>
    <t>16.2.7</t>
  </si>
  <si>
    <t>16.2.7.1</t>
  </si>
  <si>
    <t>16.2.7.2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</si>
  <si>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</si>
  <si>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</si>
  <si>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</si>
  <si>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</si>
  <si>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</si>
  <si>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</si>
  <si>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</si>
  <si>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</si>
  <si>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</si>
  <si>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17.1.10</t>
  </si>
  <si>
    <t>17.1.11</t>
  </si>
  <si>
    <t>17.1.12</t>
  </si>
  <si>
    <t>17.1.13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</si>
  <si>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</si>
  <si>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</si>
  <si>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</si>
  <si>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</si>
  <si>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</si>
  <si>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</si>
  <si>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</si>
  <si>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</si>
  <si>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</si>
  <si>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</si>
  <si>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</si>
  <si>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</si>
  <si>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</si>
  <si>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</si>
  <si>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</si>
  <si>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</si>
  <si>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</si>
  <si>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</si>
  <si>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</si>
  <si>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</si>
  <si>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</si>
  <si>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18.24</t>
  </si>
  <si>
    <t>18.28</t>
  </si>
  <si>
    <t>18.29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</si>
  <si>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</si>
  <si>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</si>
  <si>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</si>
  <si>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</si>
  <si>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</si>
  <si>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</si>
  <si>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</si>
  <si>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</si>
  <si>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</si>
  <si>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</si>
  <si>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</si>
  <si>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</si>
  <si>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</si>
  <si>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</si>
  <si>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</si>
  <si>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</si>
  <si>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</si>
  <si>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</si>
  <si>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</si>
  <si>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</si>
  <si>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</si>
  <si>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</si>
  <si>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</si>
  <si>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</si>
  <si>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19.1.1</t>
  </si>
  <si>
    <t>19.1.2</t>
  </si>
  <si>
    <t>19.1.3</t>
  </si>
  <si>
    <t>19.1.4</t>
  </si>
  <si>
    <t>19.2.1</t>
  </si>
  <si>
    <t>19.3.1</t>
  </si>
  <si>
    <t>19.3.2</t>
  </si>
  <si>
    <t>19.3.3</t>
  </si>
  <si>
    <t>19.3.4</t>
  </si>
  <si>
    <t>19.4.1</t>
  </si>
  <si>
    <t>19.4.2</t>
  </si>
  <si>
    <t>19.5</t>
  </si>
  <si>
    <t>19.5.1</t>
  </si>
  <si>
    <t>19.5.2</t>
  </si>
  <si>
    <t>19.5.3</t>
  </si>
  <si>
    <t>19.6</t>
  </si>
  <si>
    <t>19.6.1</t>
  </si>
  <si>
    <t>19.6.2</t>
  </si>
  <si>
    <t>19.7</t>
  </si>
  <si>
    <t>19.7.1</t>
  </si>
  <si>
    <t>20.6</t>
  </si>
  <si>
    <t>20.6.1</t>
  </si>
  <si>
    <t>20.6.1.1</t>
  </si>
  <si>
    <t>20.6.1.2</t>
  </si>
  <si>
    <t>20.6.2</t>
  </si>
  <si>
    <t>20.6.2.2</t>
  </si>
  <si>
    <t>20.6.2.4</t>
  </si>
  <si>
    <t>20.6.2.5</t>
  </si>
  <si>
    <t>20.6.3</t>
  </si>
  <si>
    <t>20.6.3.1</t>
  </si>
  <si>
    <t>20.6.3.2</t>
  </si>
  <si>
    <t>20.6.4</t>
  </si>
  <si>
    <t>20.6.4.1</t>
  </si>
  <si>
    <t>20.6.5</t>
  </si>
  <si>
    <t>20.6.5.1</t>
  </si>
  <si>
    <t>20.6.5.2</t>
  </si>
  <si>
    <t>21.1.1</t>
  </si>
  <si>
    <t>21.1.1.1</t>
  </si>
  <si>
    <t>21.1.1.2</t>
  </si>
  <si>
    <t>21.1.1.3</t>
  </si>
  <si>
    <t>21.2</t>
  </si>
  <si>
    <t>21.2.1</t>
  </si>
  <si>
    <t>21.2.1.1</t>
  </si>
  <si>
    <t>21.2.1.2</t>
  </si>
  <si>
    <t>21.2.1.3</t>
  </si>
  <si>
    <t>21.2.1.4</t>
  </si>
  <si>
    <t>21.2.1.5</t>
  </si>
  <si>
    <t>21.2.1.6</t>
  </si>
  <si>
    <t>21.3</t>
  </si>
  <si>
    <t>21.3.1</t>
  </si>
  <si>
    <t>21.4</t>
  </si>
  <si>
    <t>21.4.1</t>
  </si>
  <si>
    <t>21.4.2</t>
  </si>
  <si>
    <t>21.4.3</t>
  </si>
  <si>
    <t>21.4.4</t>
  </si>
  <si>
    <t>21.5</t>
  </si>
  <si>
    <t>21.5.1</t>
  </si>
  <si>
    <t>21.5.1.1</t>
  </si>
  <si>
    <t>21.5.1.2</t>
  </si>
  <si>
    <t>21.5.1.3</t>
  </si>
  <si>
    <t>21.5.2</t>
  </si>
  <si>
    <t>21.5.2.1</t>
  </si>
  <si>
    <t>21.5.3</t>
  </si>
  <si>
    <t>21.5.3.1</t>
  </si>
  <si>
    <t>21.5.3.2</t>
  </si>
  <si>
    <t>21.5.4</t>
  </si>
  <si>
    <t>21.5.4.1</t>
  </si>
  <si>
    <t>21.5.4.2</t>
  </si>
  <si>
    <t>21.5.5</t>
  </si>
  <si>
    <t>21.5.5.1</t>
  </si>
  <si>
    <t>21.5.6</t>
  </si>
  <si>
    <t>19.5.6.21</t>
  </si>
  <si>
    <t>21.5.7</t>
  </si>
  <si>
    <t>21.5.7.1</t>
  </si>
  <si>
    <t>21.5.7.2</t>
  </si>
  <si>
    <t>21.5.8</t>
  </si>
  <si>
    <t>21.5.8.1</t>
  </si>
  <si>
    <t>21.5.9</t>
  </si>
  <si>
    <t>21.5.9.1</t>
  </si>
  <si>
    <t>21.5.9.2</t>
  </si>
  <si>
    <t>21.5.10</t>
  </si>
  <si>
    <t>21.5.10.1</t>
  </si>
  <si>
    <t>21.5.10.1.1</t>
  </si>
  <si>
    <t>21.5.11</t>
  </si>
  <si>
    <t>21.5.11.1</t>
  </si>
  <si>
    <t>21.5.11.2</t>
  </si>
  <si>
    <t>21.5.12</t>
  </si>
  <si>
    <t>21.5.12.1</t>
  </si>
  <si>
    <t>21.5.13</t>
  </si>
  <si>
    <t>21.5.13.1</t>
  </si>
  <si>
    <t>21.5.14</t>
  </si>
  <si>
    <t>21.5.14.1</t>
  </si>
  <si>
    <t>22.0</t>
  </si>
  <si>
    <t>22.1</t>
  </si>
  <si>
    <t>22.1.1</t>
  </si>
  <si>
    <t>22.1.2</t>
  </si>
  <si>
    <t>22.2</t>
  </si>
  <si>
    <t>22.2.3</t>
  </si>
  <si>
    <t>22.2.4</t>
  </si>
  <si>
    <t>22.3</t>
  </si>
  <si>
    <t>22.4</t>
  </si>
  <si>
    <t>22.4.1</t>
  </si>
  <si>
    <t>22.4.2</t>
  </si>
  <si>
    <t>22.4.3</t>
  </si>
  <si>
    <t>22.5</t>
  </si>
  <si>
    <t>22.5.1</t>
  </si>
  <si>
    <t>23.0</t>
  </si>
  <si>
    <t>SERVIÇOS COMPLEMENTARES (SERVIÇOS DIVERSOS)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</si>
  <si>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</si>
  <si>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</si>
  <si>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</si>
  <si>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</si>
  <si>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</si>
  <si>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</si>
  <si>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</si>
  <si>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</si>
  <si>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</si>
  <si>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</si>
  <si>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</si>
  <si>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</si>
  <si>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</si>
  <si>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</si>
  <si>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</si>
  <si>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</si>
  <si>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</si>
  <si>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</si>
  <si>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</si>
  <si>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</si>
  <si>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</si>
  <si>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24.0</t>
  </si>
  <si>
    <t>24.1</t>
  </si>
  <si>
    <r>
      <t xml:space="preserve">TOTAL GERAL </t>
    </r>
    <r>
      <rPr>
        <sz val="12"/>
        <rFont val="Arial"/>
        <family val="2"/>
      </rPr>
      <t>deste</t>
    </r>
    <r>
      <rPr>
        <b/>
        <sz val="12"/>
        <rFont val="Arial"/>
        <family val="2"/>
      </rPr>
      <t xml:space="preserve"> Orçamento </t>
    </r>
    <r>
      <rPr>
        <sz val="12"/>
        <rFont val="Arial"/>
        <family val="2"/>
      </rPr>
      <t>perfaz o</t>
    </r>
    <r>
      <rPr>
        <b/>
        <sz val="12"/>
        <rFont val="Arial"/>
        <family val="2"/>
      </rPr>
      <t xml:space="preserve"> Valor de R$ 700.162,15</t>
    </r>
  </si>
  <si>
    <t>( Setecentos mil, cento e sessenta e dois reais e quinze centavos)</t>
  </si>
  <si>
    <t>EMPENHO:</t>
  </si>
  <si>
    <t>Obra:</t>
  </si>
  <si>
    <t xml:space="preserve">Execução de Serviços/Obras de Execução do Prédio da CRECHE - PRÓ-INFÂNCIA, zona urbana, município de Santo Antonio de Leverger-MT.    </t>
  </si>
  <si>
    <t>Local:</t>
  </si>
  <si>
    <t xml:space="preserve"> Rua Prof. Americo Pinto Brasil - Loteamento Balneário Nova Santo Antonio, Zona Urbana - Município de Santo Antonio de Leverger-MT</t>
  </si>
  <si>
    <t>Proprietario:</t>
  </si>
  <si>
    <t xml:space="preserve">PREFEITURA MUNICIPAL DE SANTO ANTÔNIO DE LEVERGER </t>
  </si>
  <si>
    <t>CRONOGRAMA FÍSICO - FINANCEIRO  - 180 dias</t>
  </si>
  <si>
    <t>TOTAL (R$)</t>
  </si>
  <si>
    <t>%</t>
  </si>
  <si>
    <t>PRAZO (PERÍODO)</t>
  </si>
  <si>
    <t>30 dias</t>
  </si>
  <si>
    <t>60 dias</t>
  </si>
  <si>
    <t>90 dias</t>
  </si>
  <si>
    <t>120 dias</t>
  </si>
  <si>
    <t>150 dias</t>
  </si>
  <si>
    <t>180 dias</t>
  </si>
  <si>
    <t>TOTAL</t>
  </si>
  <si>
    <t>Esquadria de Madeira - Portas</t>
  </si>
  <si>
    <t>Esquadria Metálica - Portas e janelas</t>
  </si>
  <si>
    <t>FATURAMENTO SIMPLES EM R$</t>
  </si>
  <si>
    <t>FATURAMENTO ACUMULADO EM R$</t>
  </si>
  <si>
    <t>TOTAL COM BDI</t>
  </si>
  <si>
    <t>PERCENTUAL SIMPLES  ACUMULADO</t>
  </si>
  <si>
    <t>RECURSO FEDERAL</t>
  </si>
  <si>
    <t xml:space="preserve">RECURSO DO MUNICIPIO </t>
  </si>
  <si>
    <t>Subtotal item 05.00.000</t>
  </si>
  <si>
    <t>=SOMA('Serviços Extras - Creche'!C63,)</t>
  </si>
  <si>
    <t>RECURSO DO MUNICIPIO TOTAL</t>
  </si>
  <si>
    <t>RECURSO TOTAL DA OBRA</t>
  </si>
  <si>
    <t>72215</t>
  </si>
  <si>
    <t>DEMOLICAO DE ALVENARIA DE ELEMENTOS CERAMICOS VAZADOS</t>
  </si>
  <si>
    <t>87516</t>
  </si>
  <si>
    <t>ALVENARIA DE VEDAÇÃO DE BLOCOS CERÂMICOS FURADOS NA HORIZONTAL DE 9X14X19CM (ESPESSURA 9CM) DE PAREDES COM ÁREA LÍQUIDA MENOR QUE 6M² COM VÃOS E ARGAMASSA DE ASSENTAMENTO COM PREPARO MANUAL. AF_06/2014</t>
  </si>
  <si>
    <t>90694</t>
  </si>
  <si>
    <t>TUBO DE PVC PARA REDE COLETORA DE ESGOTO DE PAREDE MACIÇA, DN 100 MM, JUNTA ELÁSTICA, INSTALADO EM LOCAL COM NÍVEL BAIXO DE INTERFERÊNCIAS - FORNECIMENTO E ASSENTAMENTO. AF_06/2015</t>
  </si>
  <si>
    <t>89744</t>
  </si>
  <si>
    <t>JOELHO 90 GRAUS, PVC, SERIE NORMAL, ESGOTO PREDIAL, DN 100 MM, JUNTA ELÁSTICA, FORNECIDO E INSTALADO EM RAMAL DE DESCARGA OU RAMAL DE ESGOTO SANITÁRIO. AF_12/2014</t>
  </si>
  <si>
    <t>FIXAÇÃO DE TUBOS HORIZONTAIS DE PPR DIÂMETROS DE 100 MM COM ABRAÇADEIRA METÁLICA RÍGIDA TIPO D 4", FIXADA EM PERFILADO EM LAJE. AF_05/2015</t>
  </si>
  <si>
    <r>
      <t xml:space="preserve">TOTAL GERAL deste Orçamento perfaz o Valor de </t>
    </r>
    <r>
      <rPr>
        <b/>
        <sz val="12"/>
        <rFont val="Arial"/>
        <family val="2"/>
      </rPr>
      <t xml:space="preserve">R$ 246.096,94 </t>
    </r>
    <r>
      <rPr>
        <sz val="12"/>
        <rFont val="Arial"/>
        <family val="2"/>
      </rPr>
      <t>(duzentos e quarenta e seis mil, noventa e seis reais e noventa e quatro centavos)</t>
    </r>
  </si>
  <si>
    <t>9.3</t>
  </si>
  <si>
    <t>9.4</t>
  </si>
  <si>
    <t>9.5</t>
  </si>
  <si>
    <t>9.6</t>
  </si>
  <si>
    <t>9.7</t>
  </si>
  <si>
    <t>9.8</t>
  </si>
  <si>
    <t>9.9</t>
  </si>
  <si>
    <t>4.1.1.1</t>
  </si>
  <si>
    <t>4.1.1.2</t>
  </si>
  <si>
    <t>4.1.1.3</t>
  </si>
  <si>
    <t>3.1.1.1</t>
  </si>
  <si>
    <t>2.1.2.1</t>
  </si>
  <si>
    <t>2.1.2.3</t>
  </si>
  <si>
    <t>20.1.2</t>
  </si>
  <si>
    <t>20.2.4</t>
  </si>
  <si>
    <t>20.4</t>
  </si>
  <si>
    <t>20.4.1</t>
  </si>
  <si>
    <t>20.4.2</t>
  </si>
  <si>
    <t>ADMINISTRAÇÃO LOCAL DA OBRA</t>
  </si>
  <si>
    <t>ENCARREGADO GERAL COM ENCARGOS COMPLEMENTARES</t>
  </si>
  <si>
    <t>h</t>
  </si>
  <si>
    <t>TÉCNICO DE SEGURANÇA DO TRABALHO</t>
  </si>
  <si>
    <t>ENGENHEIRO CIVIL DE OBRA JUNIOR COM ENCARGOS COMPLEMENTARES</t>
  </si>
  <si>
    <t>1.1.1</t>
  </si>
  <si>
    <r>
      <t xml:space="preserve">P L A N I L H A    O R Ç A M E N T Á R I A - </t>
    </r>
    <r>
      <rPr>
        <sz val="14"/>
        <rFont val="Castellar"/>
        <family val="1"/>
      </rPr>
      <t>município</t>
    </r>
  </si>
  <si>
    <t xml:space="preserve">Resp. p/ Elaboração: </t>
  </si>
  <si>
    <t>NOME E LOGOTIPO DA EMPRESA</t>
  </si>
  <si>
    <r>
      <t xml:space="preserve">BDI </t>
    </r>
    <r>
      <rPr>
        <sz val="11"/>
        <color rgb="FFFF0000"/>
        <rFont val="Arial"/>
        <family val="2"/>
      </rPr>
      <t xml:space="preserve">(EMPRESA): </t>
    </r>
    <r>
      <rPr>
        <b/>
        <sz val="11"/>
        <color rgb="FFFF0000"/>
        <rFont val="Arial"/>
        <family val="2"/>
      </rPr>
      <t xml:space="preserve"> %</t>
    </r>
  </si>
  <si>
    <t>BDI (EMPESA) = %</t>
  </si>
  <si>
    <t>CUSTO UNITÁRIO (SEM BDI)</t>
  </si>
  <si>
    <t>VALOR UNITÁRIO (COM BDI)</t>
  </si>
  <si>
    <t>VALOR TOTAL</t>
  </si>
  <si>
    <t>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</si>
</sst>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6" formatCode="00"/>
    <numFmt numFmtId="167" formatCode="_(* #,##0.000_);_(* \(#,##0.00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0"/>
      <name val="Castellar"/>
      <family val="1"/>
    </font>
    <font>
      <sz val="10"/>
      <name val="Castellar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Castellar"/>
      <family val="1"/>
    </font>
    <font>
      <sz val="11"/>
      <name val="Century Gothic"/>
      <family val="2"/>
    </font>
    <font>
      <b/>
      <sz val="9"/>
      <name val="Century Gothic"/>
      <family val="2"/>
    </font>
    <font>
      <sz val="8.5"/>
      <name val="Century Gothic"/>
      <family val="2"/>
    </font>
    <font>
      <sz val="9"/>
      <name val="Century Gothic"/>
      <family val="2"/>
    </font>
    <font>
      <sz val="7"/>
      <name val="Arial"/>
      <family val="2"/>
    </font>
    <font>
      <sz val="14"/>
      <name val="Castellar"/>
      <family val="1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/>
      <top style="medium">
        <color rgb="FF002060"/>
      </top>
      <bottom/>
      <diagonal/>
    </border>
    <border>
      <left/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/>
      <top style="medium">
        <color rgb="FF002060"/>
      </top>
      <bottom style="medium">
        <color indexed="64"/>
      </bottom>
      <diagonal/>
    </border>
    <border>
      <left/>
      <right/>
      <top style="medium">
        <color rgb="FF002060"/>
      </top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 style="thin">
        <color indexed="64"/>
      </right>
      <top/>
      <bottom/>
      <diagonal/>
    </border>
    <border>
      <left style="medium">
        <color rgb="FF002060"/>
      </left>
      <right/>
      <top style="thin">
        <color indexed="64"/>
      </top>
      <bottom style="medium">
        <color rgb="FF002060"/>
      </bottom>
      <diagonal/>
    </border>
    <border>
      <left/>
      <right/>
      <top style="thin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641">
    <xf numFmtId="0" fontId="0" fillId="0" borderId="0" xfId="0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/>
    <xf numFmtId="4" fontId="3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4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9" fillId="0" borderId="0" xfId="0" applyFont="1" applyAlignment="1"/>
    <xf numFmtId="0" fontId="4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0" fontId="4" fillId="0" borderId="7" xfId="0" applyFont="1" applyFill="1" applyBorder="1"/>
    <xf numFmtId="0" fontId="8" fillId="2" borderId="0" xfId="0" applyFont="1" applyFill="1" applyBorder="1"/>
    <xf numFmtId="0" fontId="4" fillId="2" borderId="0" xfId="0" applyFont="1" applyFill="1" applyBorder="1"/>
    <xf numFmtId="0" fontId="9" fillId="3" borderId="0" xfId="0" applyFont="1" applyFill="1" applyAlignment="1"/>
    <xf numFmtId="0" fontId="8" fillId="3" borderId="0" xfId="0" applyFont="1" applyFill="1" applyBorder="1"/>
    <xf numFmtId="0" fontId="6" fillId="3" borderId="0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right" wrapText="1"/>
    </xf>
    <xf numFmtId="164" fontId="4" fillId="2" borderId="1" xfId="1" applyFont="1" applyFill="1" applyBorder="1" applyAlignment="1">
      <alignment horizontal="right"/>
    </xf>
    <xf numFmtId="164" fontId="4" fillId="2" borderId="1" xfId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17" fillId="0" borderId="3" xfId="0" applyFont="1" applyFill="1" applyBorder="1" applyAlignment="1">
      <alignment wrapText="1"/>
    </xf>
    <xf numFmtId="0" fontId="17" fillId="0" borderId="14" xfId="0" applyFont="1" applyFill="1" applyBorder="1" applyAlignment="1">
      <alignment wrapText="1"/>
    </xf>
    <xf numFmtId="164" fontId="3" fillId="2" borderId="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justify" vertical="justify" wrapText="1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justify" vertical="justify" wrapText="1"/>
    </xf>
    <xf numFmtId="0" fontId="3" fillId="2" borderId="1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/>
    </xf>
    <xf numFmtId="49" fontId="3" fillId="2" borderId="1" xfId="0" applyNumberFormat="1" applyFont="1" applyFill="1" applyBorder="1" applyAlignment="1">
      <alignment horizontal="justify" vertical="justify"/>
    </xf>
    <xf numFmtId="49" fontId="4" fillId="2" borderId="1" xfId="0" applyNumberFormat="1" applyFont="1" applyFill="1" applyBorder="1" applyAlignment="1">
      <alignment horizontal="justify" vertical="justify"/>
    </xf>
    <xf numFmtId="49" fontId="2" fillId="2" borderId="1" xfId="0" applyNumberFormat="1" applyFont="1" applyFill="1" applyBorder="1" applyAlignment="1">
      <alignment horizontal="justify" vertical="justify" wrapText="1"/>
    </xf>
    <xf numFmtId="49" fontId="3" fillId="0" borderId="1" xfId="0" applyNumberFormat="1" applyFont="1" applyFill="1" applyBorder="1" applyAlignment="1">
      <alignment horizontal="justify" vertical="justify"/>
    </xf>
    <xf numFmtId="49" fontId="4" fillId="2" borderId="1" xfId="0" applyNumberFormat="1" applyFont="1" applyFill="1" applyBorder="1" applyAlignment="1">
      <alignment horizontal="justify" vertical="justify" wrapText="1"/>
    </xf>
    <xf numFmtId="0" fontId="16" fillId="2" borderId="1" xfId="0" applyFont="1" applyFill="1" applyBorder="1" applyAlignment="1">
      <alignment horizontal="justify" vertical="justify" wrapText="1"/>
    </xf>
    <xf numFmtId="0" fontId="15" fillId="2" borderId="1" xfId="0" applyFont="1" applyFill="1" applyBorder="1" applyAlignment="1">
      <alignment horizontal="justify" vertical="justify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justify" vertical="justify" wrapText="1"/>
    </xf>
    <xf numFmtId="49" fontId="3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justify" vertical="justify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4" fontId="3" fillId="0" borderId="1" xfId="5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/>
    <xf numFmtId="0" fontId="2" fillId="0" borderId="1" xfId="0" applyFont="1" applyFill="1" applyBorder="1"/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right" wrapText="1"/>
    </xf>
    <xf numFmtId="44" fontId="3" fillId="0" borderId="1" xfId="5" applyFont="1" applyFill="1" applyBorder="1"/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" fontId="2" fillId="0" borderId="1" xfId="0" quotePrefix="1" applyNumberFormat="1" applyFont="1" applyFill="1" applyBorder="1" applyAlignment="1"/>
    <xf numFmtId="0" fontId="2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/>
    </xf>
    <xf numFmtId="49" fontId="3" fillId="0" borderId="1" xfId="0" applyNumberFormat="1" applyFont="1" applyFill="1" applyBorder="1" applyAlignment="1">
      <alignment horizontal="right"/>
    </xf>
    <xf numFmtId="164" fontId="11" fillId="0" borderId="1" xfId="0" applyNumberFormat="1" applyFont="1" applyFill="1" applyBorder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/>
    <xf numFmtId="49" fontId="2" fillId="0" borderId="4" xfId="0" applyNumberFormat="1" applyFont="1" applyFill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/>
    </xf>
    <xf numFmtId="0" fontId="24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/>
    <xf numFmtId="0" fontId="17" fillId="0" borderId="0" xfId="0" applyFont="1" applyBorder="1" applyAlignment="1"/>
    <xf numFmtId="166" fontId="3" fillId="0" borderId="18" xfId="0" applyNumberFormat="1" applyFont="1" applyBorder="1" applyAlignment="1">
      <alignment horizontal="center" vertical="center"/>
    </xf>
    <xf numFmtId="10" fontId="25" fillId="0" borderId="3" xfId="6" applyNumberFormat="1" applyFont="1" applyBorder="1" applyAlignment="1">
      <alignment horizontal="center"/>
    </xf>
    <xf numFmtId="164" fontId="25" fillId="2" borderId="14" xfId="1" applyFont="1" applyFill="1" applyBorder="1"/>
    <xf numFmtId="164" fontId="25" fillId="2" borderId="3" xfId="1" applyFont="1" applyFill="1" applyBorder="1"/>
    <xf numFmtId="164" fontId="25" fillId="4" borderId="14" xfId="1" applyFont="1" applyFill="1" applyBorder="1"/>
    <xf numFmtId="164" fontId="25" fillId="0" borderId="4" xfId="1" applyFont="1" applyBorder="1"/>
    <xf numFmtId="164" fontId="25" fillId="2" borderId="4" xfId="1" applyFont="1" applyFill="1" applyBorder="1"/>
    <xf numFmtId="164" fontId="25" fillId="2" borderId="14" xfId="1" applyFont="1" applyFill="1" applyBorder="1" applyAlignment="1">
      <alignment horizontal="center"/>
    </xf>
    <xf numFmtId="164" fontId="25" fillId="0" borderId="14" xfId="1" applyFont="1" applyBorder="1"/>
    <xf numFmtId="167" fontId="25" fillId="2" borderId="14" xfId="1" applyNumberFormat="1" applyFont="1" applyFill="1" applyBorder="1"/>
    <xf numFmtId="10" fontId="25" fillId="0" borderId="8" xfId="6" applyNumberFormat="1" applyFont="1" applyBorder="1" applyAlignment="1">
      <alignment horizontal="center"/>
    </xf>
    <xf numFmtId="10" fontId="25" fillId="0" borderId="9" xfId="6" applyNumberFormat="1" applyFont="1" applyBorder="1" applyAlignment="1">
      <alignment horizontal="center"/>
    </xf>
    <xf numFmtId="164" fontId="25" fillId="2" borderId="9" xfId="1" applyFont="1" applyFill="1" applyBorder="1"/>
    <xf numFmtId="164" fontId="25" fillId="4" borderId="10" xfId="1" applyFont="1" applyFill="1" applyBorder="1"/>
    <xf numFmtId="167" fontId="25" fillId="2" borderId="11" xfId="1" applyNumberFormat="1" applyFont="1" applyFill="1" applyBorder="1"/>
    <xf numFmtId="164" fontId="25" fillId="2" borderId="11" xfId="1" applyFont="1" applyFill="1" applyBorder="1"/>
    <xf numFmtId="164" fontId="25" fillId="0" borderId="12" xfId="1" applyFont="1" applyBorder="1"/>
    <xf numFmtId="164" fontId="25" fillId="2" borderId="10" xfId="1" applyFont="1" applyFill="1" applyBorder="1"/>
    <xf numFmtId="164" fontId="25" fillId="2" borderId="8" xfId="1" applyFont="1" applyFill="1" applyBorder="1"/>
    <xf numFmtId="164" fontId="25" fillId="4" borderId="11" xfId="1" applyFont="1" applyFill="1" applyBorder="1"/>
    <xf numFmtId="164" fontId="25" fillId="0" borderId="13" xfId="1" applyFont="1" applyBorder="1"/>
    <xf numFmtId="164" fontId="2" fillId="2" borderId="1" xfId="1" applyFont="1" applyFill="1" applyBorder="1" applyAlignment="1">
      <alignment horizontal="right" vertical="center"/>
    </xf>
    <xf numFmtId="164" fontId="2" fillId="0" borderId="1" xfId="1" applyFont="1" applyBorder="1" applyAlignment="1">
      <alignment horizontal="center" vertical="center"/>
    </xf>
    <xf numFmtId="164" fontId="25" fillId="2" borderId="1" xfId="1" applyFont="1" applyFill="1" applyBorder="1"/>
    <xf numFmtId="164" fontId="3" fillId="2" borderId="0" xfId="1" applyFont="1" applyFill="1" applyBorder="1"/>
    <xf numFmtId="10" fontId="3" fillId="0" borderId="1" xfId="6" applyNumberFormat="1" applyFont="1" applyBorder="1" applyAlignment="1">
      <alignment horizontal="right" vertical="center"/>
    </xf>
    <xf numFmtId="10" fontId="25" fillId="0" borderId="1" xfId="6" applyNumberFormat="1" applyFont="1" applyBorder="1" applyAlignment="1">
      <alignment horizontal="center"/>
    </xf>
    <xf numFmtId="164" fontId="3" fillId="2" borderId="3" xfId="1" applyFont="1" applyFill="1" applyBorder="1" applyAlignment="1">
      <alignment vertical="center"/>
    </xf>
    <xf numFmtId="164" fontId="25" fillId="0" borderId="3" xfId="1" applyFont="1" applyBorder="1"/>
    <xf numFmtId="166" fontId="3" fillId="0" borderId="2" xfId="0" applyNumberFormat="1" applyFont="1" applyBorder="1" applyAlignment="1">
      <alignment horizontal="left"/>
    </xf>
    <xf numFmtId="164" fontId="2" fillId="2" borderId="2" xfId="1" applyFont="1" applyFill="1" applyBorder="1" applyAlignment="1">
      <alignment vertical="center"/>
    </xf>
    <xf numFmtId="10" fontId="25" fillId="0" borderId="2" xfId="6" applyNumberFormat="1" applyFont="1" applyBorder="1" applyAlignment="1">
      <alignment horizontal="center"/>
    </xf>
    <xf numFmtId="164" fontId="25" fillId="2" borderId="2" xfId="1" applyFont="1" applyFill="1" applyBorder="1"/>
    <xf numFmtId="164" fontId="25" fillId="0" borderId="2" xfId="1" applyFont="1" applyBorder="1"/>
    <xf numFmtId="10" fontId="25" fillId="0" borderId="14" xfId="6" applyNumberFormat="1" applyFont="1" applyBorder="1" applyAlignment="1">
      <alignment horizontal="center"/>
    </xf>
    <xf numFmtId="167" fontId="25" fillId="0" borderId="3" xfId="1" applyNumberFormat="1" applyFont="1" applyBorder="1" applyAlignment="1"/>
    <xf numFmtId="167" fontId="25" fillId="0" borderId="14" xfId="1" applyNumberFormat="1" applyFont="1" applyBorder="1" applyAlignment="1"/>
    <xf numFmtId="164" fontId="25" fillId="2" borderId="3" xfId="1" applyFont="1" applyFill="1" applyBorder="1" applyAlignment="1"/>
    <xf numFmtId="164" fontId="25" fillId="2" borderId="14" xfId="1" applyFont="1" applyFill="1" applyBorder="1" applyAlignment="1"/>
    <xf numFmtId="164" fontId="25" fillId="2" borderId="4" xfId="1" applyFont="1" applyFill="1" applyBorder="1" applyAlignment="1"/>
    <xf numFmtId="164" fontId="25" fillId="0" borderId="3" xfId="1" applyFont="1" applyBorder="1" applyAlignment="1"/>
    <xf numFmtId="164" fontId="25" fillId="0" borderId="4" xfId="1" applyFont="1" applyBorder="1" applyAlignment="1"/>
    <xf numFmtId="167" fontId="25" fillId="2" borderId="3" xfId="1" applyNumberFormat="1" applyFont="1" applyFill="1" applyBorder="1" applyAlignment="1"/>
    <xf numFmtId="167" fontId="25" fillId="2" borderId="14" xfId="1" applyNumberFormat="1" applyFont="1" applyFill="1" applyBorder="1" applyAlignment="1"/>
    <xf numFmtId="167" fontId="25" fillId="2" borderId="4" xfId="1" applyNumberFormat="1" applyFont="1" applyFill="1" applyBorder="1" applyAlignment="1"/>
    <xf numFmtId="164" fontId="3" fillId="0" borderId="1" xfId="1" applyFont="1" applyBorder="1"/>
    <xf numFmtId="164" fontId="3" fillId="0" borderId="0" xfId="1" applyFont="1" applyFill="1" applyBorder="1"/>
    <xf numFmtId="4" fontId="0" fillId="0" borderId="0" xfId="0" applyNumberFormat="1"/>
    <xf numFmtId="4" fontId="3" fillId="0" borderId="1" xfId="0" applyNumberFormat="1" applyFont="1" applyFill="1" applyBorder="1" applyAlignment="1">
      <alignment horizontal="left"/>
    </xf>
    <xf numFmtId="164" fontId="0" fillId="0" borderId="0" xfId="0" applyNumberFormat="1"/>
    <xf numFmtId="10" fontId="3" fillId="0" borderId="3" xfId="6" applyNumberFormat="1" applyFont="1" applyBorder="1" applyAlignment="1">
      <alignment horizontal="right" vertical="center"/>
    </xf>
    <xf numFmtId="164" fontId="2" fillId="0" borderId="2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164" fontId="25" fillId="0" borderId="3" xfId="6" applyNumberFormat="1" applyFont="1" applyBorder="1" applyAlignment="1">
      <alignment horizontal="center"/>
    </xf>
    <xf numFmtId="164" fontId="25" fillId="2" borderId="13" xfId="1" applyFont="1" applyFill="1" applyBorder="1"/>
    <xf numFmtId="164" fontId="25" fillId="2" borderId="12" xfId="1" applyFont="1" applyFill="1" applyBorder="1"/>
    <xf numFmtId="0" fontId="2" fillId="0" borderId="21" xfId="0" applyFont="1" applyBorder="1"/>
    <xf numFmtId="0" fontId="21" fillId="0" borderId="23" xfId="0" applyFont="1" applyBorder="1" applyAlignment="1">
      <alignment vertical="center"/>
    </xf>
    <xf numFmtId="0" fontId="21" fillId="0" borderId="23" xfId="0" applyFont="1" applyBorder="1" applyAlignment="1"/>
    <xf numFmtId="0" fontId="23" fillId="0" borderId="23" xfId="0" applyFont="1" applyBorder="1" applyAlignment="1"/>
    <xf numFmtId="0" fontId="2" fillId="0" borderId="25" xfId="0" applyFont="1" applyBorder="1"/>
    <xf numFmtId="0" fontId="2" fillId="0" borderId="26" xfId="0" applyFont="1" applyBorder="1"/>
    <xf numFmtId="164" fontId="25" fillId="2" borderId="43" xfId="1" applyFont="1" applyFill="1" applyBorder="1"/>
    <xf numFmtId="164" fontId="25" fillId="0" borderId="43" xfId="1" applyFont="1" applyBorder="1"/>
    <xf numFmtId="164" fontId="25" fillId="2" borderId="47" xfId="1" applyFont="1" applyFill="1" applyBorder="1"/>
    <xf numFmtId="10" fontId="25" fillId="0" borderId="47" xfId="6" applyNumberFormat="1" applyFont="1" applyBorder="1" applyAlignment="1">
      <alignment horizontal="center"/>
    </xf>
    <xf numFmtId="166" fontId="3" fillId="0" borderId="49" xfId="0" applyNumberFormat="1" applyFont="1" applyBorder="1" applyAlignment="1">
      <alignment horizontal="left"/>
    </xf>
    <xf numFmtId="164" fontId="2" fillId="0" borderId="50" xfId="1" applyFont="1" applyBorder="1" applyAlignment="1">
      <alignment horizontal="center" vertical="center"/>
    </xf>
    <xf numFmtId="164" fontId="25" fillId="0" borderId="43" xfId="1" applyFont="1" applyBorder="1" applyAlignment="1"/>
    <xf numFmtId="167" fontId="25" fillId="0" borderId="47" xfId="1" applyNumberFormat="1" applyFont="1" applyBorder="1" applyAlignment="1"/>
    <xf numFmtId="164" fontId="3" fillId="0" borderId="59" xfId="1" applyFont="1" applyBorder="1"/>
    <xf numFmtId="164" fontId="25" fillId="0" borderId="59" xfId="1" applyFont="1" applyBorder="1" applyAlignment="1">
      <alignment horizontal="center"/>
    </xf>
    <xf numFmtId="164" fontId="3" fillId="0" borderId="61" xfId="1" applyFont="1" applyBorder="1"/>
    <xf numFmtId="164" fontId="25" fillId="0" borderId="61" xfId="1" applyFont="1" applyBorder="1" applyAlignment="1">
      <alignment horizontal="center"/>
    </xf>
    <xf numFmtId="43" fontId="0" fillId="0" borderId="0" xfId="0" applyNumberFormat="1"/>
    <xf numFmtId="0" fontId="0" fillId="0" borderId="23" xfId="0" applyBorder="1"/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center" vertical="top"/>
    </xf>
    <xf numFmtId="49" fontId="3" fillId="2" borderId="46" xfId="0" applyNumberFormat="1" applyFont="1" applyFill="1" applyBorder="1" applyAlignment="1">
      <alignment horizontal="center" vertical="top"/>
    </xf>
    <xf numFmtId="49" fontId="5" fillId="2" borderId="46" xfId="0" applyNumberFormat="1" applyFont="1" applyFill="1" applyBorder="1" applyAlignment="1">
      <alignment horizontal="justify" vertical="justify"/>
    </xf>
    <xf numFmtId="49" fontId="5" fillId="2" borderId="46" xfId="0" applyNumberFormat="1" applyFont="1" applyFill="1" applyBorder="1" applyAlignment="1">
      <alignment horizontal="center" vertical="center"/>
    </xf>
    <xf numFmtId="164" fontId="5" fillId="2" borderId="46" xfId="1" applyFont="1" applyFill="1" applyBorder="1" applyAlignment="1">
      <alignment horizontal="right"/>
    </xf>
    <xf numFmtId="164" fontId="6" fillId="2" borderId="48" xfId="1" applyFont="1" applyFill="1" applyBorder="1" applyAlignment="1">
      <alignment horizontal="right"/>
    </xf>
    <xf numFmtId="0" fontId="4" fillId="2" borderId="39" xfId="0" applyFont="1" applyFill="1" applyBorder="1" applyAlignment="1">
      <alignment horizontal="center" vertical="top"/>
    </xf>
    <xf numFmtId="164" fontId="4" fillId="2" borderId="40" xfId="1" applyFont="1" applyFill="1" applyBorder="1" applyAlignment="1">
      <alignment horizontal="right"/>
    </xf>
    <xf numFmtId="0" fontId="4" fillId="2" borderId="39" xfId="0" applyFont="1" applyFill="1" applyBorder="1" applyAlignment="1">
      <alignment horizontal="center" vertical="top" wrapText="1"/>
    </xf>
    <xf numFmtId="44" fontId="3" fillId="2" borderId="40" xfId="5" applyFont="1" applyFill="1" applyBorder="1" applyAlignment="1">
      <alignment horizontal="right"/>
    </xf>
    <xf numFmtId="0" fontId="3" fillId="2" borderId="39" xfId="0" applyFont="1" applyFill="1" applyBorder="1" applyAlignment="1">
      <alignment horizontal="center" vertical="top"/>
    </xf>
    <xf numFmtId="0" fontId="3" fillId="2" borderId="39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top"/>
    </xf>
    <xf numFmtId="0" fontId="4" fillId="2" borderId="42" xfId="0" applyFont="1" applyFill="1" applyBorder="1" applyAlignment="1">
      <alignment horizontal="center" vertical="top"/>
    </xf>
    <xf numFmtId="49" fontId="5" fillId="2" borderId="42" xfId="0" applyNumberFormat="1" applyFont="1" applyFill="1" applyBorder="1" applyAlignment="1">
      <alignment horizontal="justify" vertical="justify"/>
    </xf>
    <xf numFmtId="0" fontId="6" fillId="2" borderId="42" xfId="0" applyFont="1" applyFill="1" applyBorder="1" applyAlignment="1">
      <alignment horizontal="center"/>
    </xf>
    <xf numFmtId="164" fontId="4" fillId="2" borderId="42" xfId="1" applyFont="1" applyFill="1" applyBorder="1" applyAlignment="1">
      <alignment horizontal="right"/>
    </xf>
    <xf numFmtId="164" fontId="4" fillId="2" borderId="44" xfId="1" applyFont="1" applyFill="1" applyBorder="1" applyAlignment="1">
      <alignment horizontal="right"/>
    </xf>
    <xf numFmtId="0" fontId="4" fillId="2" borderId="46" xfId="0" applyFont="1" applyFill="1" applyBorder="1" applyAlignment="1">
      <alignment horizontal="center" vertical="top"/>
    </xf>
    <xf numFmtId="49" fontId="2" fillId="2" borderId="46" xfId="0" applyNumberFormat="1" applyFont="1" applyFill="1" applyBorder="1" applyAlignment="1">
      <alignment horizontal="justify" vertical="justify"/>
    </xf>
    <xf numFmtId="49" fontId="2" fillId="2" borderId="46" xfId="0" applyNumberFormat="1" applyFont="1" applyFill="1" applyBorder="1" applyAlignment="1">
      <alignment horizontal="center"/>
    </xf>
    <xf numFmtId="164" fontId="4" fillId="2" borderId="46" xfId="1" applyFont="1" applyFill="1" applyBorder="1" applyAlignment="1">
      <alignment horizontal="right"/>
    </xf>
    <xf numFmtId="164" fontId="4" fillId="2" borderId="48" xfId="1" applyFont="1" applyFill="1" applyBorder="1" applyAlignment="1">
      <alignment horizontal="right"/>
    </xf>
    <xf numFmtId="0" fontId="2" fillId="2" borderId="39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 wrapText="1"/>
    </xf>
    <xf numFmtId="49" fontId="2" fillId="2" borderId="42" xfId="0" applyNumberFormat="1" applyFont="1" applyFill="1" applyBorder="1" applyAlignment="1">
      <alignment horizontal="justify" vertical="justify" wrapText="1"/>
    </xf>
    <xf numFmtId="0" fontId="4" fillId="2" borderId="42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top"/>
    </xf>
    <xf numFmtId="49" fontId="2" fillId="2" borderId="46" xfId="0" applyNumberFormat="1" applyFont="1" applyFill="1" applyBorder="1" applyAlignment="1">
      <alignment horizontal="center" vertical="top" wrapText="1"/>
    </xf>
    <xf numFmtId="49" fontId="2" fillId="2" borderId="46" xfId="0" applyNumberFormat="1" applyFont="1" applyFill="1" applyBorder="1" applyAlignment="1">
      <alignment horizontal="justify" vertical="justify" wrapText="1"/>
    </xf>
    <xf numFmtId="49" fontId="4" fillId="2" borderId="46" xfId="0" applyNumberFormat="1" applyFont="1" applyFill="1" applyBorder="1" applyAlignment="1">
      <alignment horizontal="center"/>
    </xf>
    <xf numFmtId="49" fontId="5" fillId="2" borderId="42" xfId="0" applyNumberFormat="1" applyFont="1" applyFill="1" applyBorder="1" applyAlignment="1">
      <alignment horizontal="center" vertical="top" wrapText="1"/>
    </xf>
    <xf numFmtId="0" fontId="16" fillId="2" borderId="42" xfId="0" applyFont="1" applyFill="1" applyBorder="1" applyAlignment="1">
      <alignment horizontal="justify" vertical="justify" wrapText="1"/>
    </xf>
    <xf numFmtId="49" fontId="4" fillId="2" borderId="42" xfId="0" applyNumberFormat="1" applyFont="1" applyFill="1" applyBorder="1" applyAlignment="1">
      <alignment horizontal="center"/>
    </xf>
    <xf numFmtId="0" fontId="15" fillId="2" borderId="46" xfId="0" applyFont="1" applyFill="1" applyBorder="1" applyAlignment="1">
      <alignment horizontal="justify" vertical="justify" wrapText="1"/>
    </xf>
    <xf numFmtId="0" fontId="15" fillId="2" borderId="46" xfId="0" applyFont="1" applyFill="1" applyBorder="1" applyAlignment="1">
      <alignment horizontal="center"/>
    </xf>
    <xf numFmtId="49" fontId="16" fillId="2" borderId="42" xfId="0" applyNumberFormat="1" applyFont="1" applyFill="1" applyBorder="1" applyAlignment="1">
      <alignment horizontal="justify" vertical="justify" wrapText="1"/>
    </xf>
    <xf numFmtId="49" fontId="15" fillId="2" borderId="46" xfId="0" applyNumberFormat="1" applyFont="1" applyFill="1" applyBorder="1" applyAlignment="1">
      <alignment horizontal="justify" vertical="justify" wrapText="1"/>
    </xf>
    <xf numFmtId="0" fontId="4" fillId="2" borderId="39" xfId="0" applyFont="1" applyFill="1" applyBorder="1" applyAlignment="1">
      <alignment horizontal="center"/>
    </xf>
    <xf numFmtId="44" fontId="11" fillId="2" borderId="40" xfId="5" applyFont="1" applyFill="1" applyBorder="1" applyAlignment="1">
      <alignment horizontal="right"/>
    </xf>
    <xf numFmtId="164" fontId="11" fillId="2" borderId="40" xfId="1" applyFont="1" applyFill="1" applyBorder="1" applyAlignment="1">
      <alignment horizontal="right"/>
    </xf>
    <xf numFmtId="0" fontId="4" fillId="0" borderId="51" xfId="0" applyFont="1" applyFill="1" applyBorder="1"/>
    <xf numFmtId="0" fontId="4" fillId="0" borderId="65" xfId="0" applyFont="1" applyBorder="1"/>
    <xf numFmtId="0" fontId="4" fillId="0" borderId="23" xfId="0" applyFont="1" applyFill="1" applyBorder="1"/>
    <xf numFmtId="0" fontId="4" fillId="0" borderId="24" xfId="0" applyFont="1" applyBorder="1"/>
    <xf numFmtId="0" fontId="4" fillId="0" borderId="25" xfId="0" applyFont="1" applyFill="1" applyBorder="1"/>
    <xf numFmtId="0" fontId="4" fillId="0" borderId="66" xfId="0" applyFont="1" applyFill="1" applyBorder="1"/>
    <xf numFmtId="0" fontId="17" fillId="0" borderId="43" xfId="0" applyFont="1" applyFill="1" applyBorder="1" applyAlignment="1">
      <alignment wrapText="1"/>
    </xf>
    <xf numFmtId="0" fontId="4" fillId="0" borderId="67" xfId="0" applyFont="1" applyFill="1" applyBorder="1"/>
    <xf numFmtId="0" fontId="4" fillId="0" borderId="26" xfId="0" applyFont="1" applyFill="1" applyBorder="1"/>
    <xf numFmtId="0" fontId="4" fillId="0" borderId="27" xfId="0" applyFont="1" applyBorder="1"/>
    <xf numFmtId="0" fontId="2" fillId="2" borderId="39" xfId="0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/>
    <xf numFmtId="4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wrapText="1"/>
    </xf>
    <xf numFmtId="0" fontId="16" fillId="0" borderId="69" xfId="0" applyFont="1" applyFill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/>
    </xf>
    <xf numFmtId="0" fontId="3" fillId="0" borderId="46" xfId="0" applyFont="1" applyFill="1" applyBorder="1" applyAlignment="1"/>
    <xf numFmtId="4" fontId="2" fillId="0" borderId="46" xfId="0" applyNumberFormat="1" applyFont="1" applyFill="1" applyBorder="1" applyAlignment="1"/>
    <xf numFmtId="4" fontId="2" fillId="0" borderId="46" xfId="0" applyNumberFormat="1" applyFont="1" applyFill="1" applyBorder="1"/>
    <xf numFmtId="4" fontId="2" fillId="0" borderId="46" xfId="0" applyNumberFormat="1" applyFont="1" applyFill="1" applyBorder="1" applyAlignment="1">
      <alignment wrapText="1"/>
    </xf>
    <xf numFmtId="0" fontId="2" fillId="0" borderId="48" xfId="0" applyFont="1" applyFill="1" applyBorder="1" applyAlignment="1">
      <alignment wrapText="1"/>
    </xf>
    <xf numFmtId="0" fontId="2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wrapText="1"/>
    </xf>
    <xf numFmtId="0" fontId="2" fillId="0" borderId="40" xfId="0" applyFont="1" applyFill="1" applyBorder="1" applyAlignment="1">
      <alignment wrapText="1"/>
    </xf>
    <xf numFmtId="44" fontId="3" fillId="0" borderId="40" xfId="5" applyFont="1" applyFill="1" applyBorder="1"/>
    <xf numFmtId="4" fontId="2" fillId="0" borderId="40" xfId="0" applyNumberFormat="1" applyFont="1" applyFill="1" applyBorder="1" applyAlignment="1">
      <alignment wrapText="1"/>
    </xf>
    <xf numFmtId="0" fontId="2" fillId="0" borderId="40" xfId="0" applyFont="1" applyFill="1" applyBorder="1"/>
    <xf numFmtId="0" fontId="2" fillId="0" borderId="40" xfId="0" applyFont="1" applyBorder="1" applyAlignment="1"/>
    <xf numFmtId="0" fontId="3" fillId="0" borderId="40" xfId="0" applyFont="1" applyFill="1" applyBorder="1"/>
    <xf numFmtId="44" fontId="16" fillId="0" borderId="40" xfId="5" applyFont="1" applyFill="1" applyBorder="1"/>
    <xf numFmtId="0" fontId="2" fillId="0" borderId="23" xfId="0" applyFont="1" applyFill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3" xfId="0" applyFont="1" applyFill="1" applyBorder="1"/>
    <xf numFmtId="0" fontId="2" fillId="0" borderId="24" xfId="0" applyFont="1" applyBorder="1"/>
    <xf numFmtId="0" fontId="15" fillId="0" borderId="73" xfId="0" applyFont="1" applyBorder="1" applyAlignment="1">
      <alignment horizontal="left" vertical="center"/>
    </xf>
    <xf numFmtId="0" fontId="16" fillId="0" borderId="31" xfId="0" applyFont="1" applyBorder="1" applyAlignment="1">
      <alignment horizontal="center"/>
    </xf>
    <xf numFmtId="16" fontId="16" fillId="0" borderId="74" xfId="0" applyNumberFormat="1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38" xfId="0" applyFont="1" applyFill="1" applyBorder="1"/>
    <xf numFmtId="0" fontId="2" fillId="0" borderId="41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left"/>
    </xf>
    <xf numFmtId="4" fontId="2" fillId="0" borderId="42" xfId="0" applyNumberFormat="1" applyFont="1" applyFill="1" applyBorder="1" applyAlignment="1"/>
    <xf numFmtId="4" fontId="2" fillId="0" borderId="42" xfId="0" applyNumberFormat="1" applyFont="1" applyFill="1" applyBorder="1" applyAlignment="1">
      <alignment wrapText="1"/>
    </xf>
    <xf numFmtId="0" fontId="2" fillId="0" borderId="44" xfId="0" applyFont="1" applyFill="1" applyBorder="1"/>
    <xf numFmtId="49" fontId="2" fillId="0" borderId="46" xfId="0" applyNumberFormat="1" applyFont="1" applyFill="1" applyBorder="1" applyAlignment="1">
      <alignment horizontal="center"/>
    </xf>
    <xf numFmtId="49" fontId="2" fillId="0" borderId="46" xfId="0" applyNumberFormat="1" applyFont="1" applyFill="1" applyBorder="1" applyAlignment="1">
      <alignment horizontal="left"/>
    </xf>
    <xf numFmtId="0" fontId="2" fillId="0" borderId="48" xfId="0" applyFont="1" applyFill="1" applyBorder="1"/>
    <xf numFmtId="49" fontId="3" fillId="0" borderId="42" xfId="0" applyNumberFormat="1" applyFont="1" applyFill="1" applyBorder="1" applyAlignment="1"/>
    <xf numFmtId="4" fontId="2" fillId="0" borderId="42" xfId="0" applyNumberFormat="1" applyFont="1" applyFill="1" applyBorder="1"/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wrapText="1"/>
    </xf>
    <xf numFmtId="49" fontId="2" fillId="0" borderId="46" xfId="0" applyNumberFormat="1" applyFont="1" applyFill="1" applyBorder="1" applyAlignment="1"/>
    <xf numFmtId="0" fontId="3" fillId="0" borderId="42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wrapText="1"/>
    </xf>
    <xf numFmtId="0" fontId="2" fillId="0" borderId="5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wrapText="1"/>
    </xf>
    <xf numFmtId="0" fontId="2" fillId="0" borderId="52" xfId="0" applyFont="1" applyFill="1" applyBorder="1" applyAlignment="1">
      <alignment wrapText="1"/>
    </xf>
    <xf numFmtId="0" fontId="2" fillId="0" borderId="59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wrapText="1"/>
    </xf>
    <xf numFmtId="0" fontId="2" fillId="0" borderId="59" xfId="0" applyFont="1" applyFill="1" applyBorder="1" applyAlignment="1">
      <alignment horizontal="left" wrapText="1"/>
    </xf>
    <xf numFmtId="0" fontId="2" fillId="0" borderId="59" xfId="0" applyFont="1" applyFill="1" applyBorder="1" applyAlignment="1">
      <alignment horizontal="center" wrapText="1"/>
    </xf>
    <xf numFmtId="4" fontId="2" fillId="0" borderId="59" xfId="0" applyNumberFormat="1" applyFont="1" applyFill="1" applyBorder="1" applyAlignment="1">
      <alignment wrapText="1"/>
    </xf>
    <xf numFmtId="0" fontId="2" fillId="0" borderId="59" xfId="0" applyFont="1" applyFill="1" applyBorder="1" applyAlignment="1">
      <alignment wrapText="1"/>
    </xf>
    <xf numFmtId="0" fontId="3" fillId="0" borderId="59" xfId="0" applyFont="1" applyFill="1" applyBorder="1" applyAlignment="1">
      <alignment horizontal="left" wrapText="1"/>
    </xf>
    <xf numFmtId="0" fontId="3" fillId="0" borderId="59" xfId="0" applyFont="1" applyFill="1" applyBorder="1" applyAlignment="1">
      <alignment horizontal="right" wrapText="1"/>
    </xf>
    <xf numFmtId="44" fontId="3" fillId="0" borderId="59" xfId="5" applyFont="1" applyFill="1" applyBorder="1"/>
    <xf numFmtId="4" fontId="3" fillId="0" borderId="59" xfId="0" applyNumberFormat="1" applyFont="1" applyFill="1" applyBorder="1" applyAlignment="1">
      <alignment wrapText="1"/>
    </xf>
    <xf numFmtId="0" fontId="2" fillId="0" borderId="75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 wrapText="1"/>
    </xf>
    <xf numFmtId="0" fontId="2" fillId="0" borderId="76" xfId="0" applyFont="1" applyFill="1" applyBorder="1" applyAlignment="1">
      <alignment horizontal="left" wrapText="1"/>
    </xf>
    <xf numFmtId="0" fontId="2" fillId="0" borderId="76" xfId="0" applyFont="1" applyFill="1" applyBorder="1" applyAlignment="1">
      <alignment horizontal="center" wrapText="1"/>
    </xf>
    <xf numFmtId="4" fontId="2" fillId="0" borderId="76" xfId="0" applyNumberFormat="1" applyFont="1" applyFill="1" applyBorder="1" applyAlignment="1">
      <alignment wrapText="1"/>
    </xf>
    <xf numFmtId="0" fontId="2" fillId="0" borderId="77" xfId="0" applyFont="1" applyFill="1" applyBorder="1" applyAlignment="1">
      <alignment wrapText="1"/>
    </xf>
    <xf numFmtId="0" fontId="2" fillId="0" borderId="72" xfId="0" applyFont="1" applyFill="1" applyBorder="1" applyAlignment="1">
      <alignment horizontal="center"/>
    </xf>
    <xf numFmtId="0" fontId="2" fillId="0" borderId="60" xfId="0" applyFont="1" applyFill="1" applyBorder="1" applyAlignment="1">
      <alignment wrapText="1"/>
    </xf>
    <xf numFmtId="0" fontId="2" fillId="0" borderId="73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 wrapText="1"/>
    </xf>
    <xf numFmtId="4" fontId="2" fillId="0" borderId="61" xfId="0" applyNumberFormat="1" applyFont="1" applyFill="1" applyBorder="1" applyAlignment="1">
      <alignment wrapText="1"/>
    </xf>
    <xf numFmtId="0" fontId="2" fillId="0" borderId="62" xfId="0" applyFont="1" applyFill="1" applyBorder="1" applyAlignment="1">
      <alignment wrapText="1"/>
    </xf>
    <xf numFmtId="0" fontId="2" fillId="0" borderId="61" xfId="0" applyFont="1" applyFill="1" applyBorder="1" applyAlignment="1">
      <alignment horizontal="left" wrapText="1"/>
    </xf>
    <xf numFmtId="0" fontId="2" fillId="0" borderId="76" xfId="0" applyFont="1" applyFill="1" applyBorder="1" applyAlignment="1">
      <alignment wrapText="1"/>
    </xf>
    <xf numFmtId="0" fontId="3" fillId="0" borderId="76" xfId="0" applyFont="1" applyFill="1" applyBorder="1" applyAlignment="1">
      <alignment horizontal="left" wrapText="1"/>
    </xf>
    <xf numFmtId="0" fontId="3" fillId="0" borderId="76" xfId="0" applyFont="1" applyFill="1" applyBorder="1" applyAlignment="1">
      <alignment horizontal="right" wrapText="1"/>
    </xf>
    <xf numFmtId="44" fontId="3" fillId="0" borderId="76" xfId="5" applyFont="1" applyFill="1" applyBorder="1"/>
    <xf numFmtId="0" fontId="3" fillId="0" borderId="42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4" fontId="2" fillId="0" borderId="4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left" wrapText="1"/>
    </xf>
    <xf numFmtId="0" fontId="2" fillId="0" borderId="4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left" wrapText="1"/>
    </xf>
    <xf numFmtId="0" fontId="3" fillId="0" borderId="42" xfId="0" applyFont="1" applyFill="1" applyBorder="1" applyAlignment="1">
      <alignment wrapText="1"/>
    </xf>
    <xf numFmtId="4" fontId="3" fillId="0" borderId="42" xfId="0" applyNumberFormat="1" applyFont="1" applyFill="1" applyBorder="1" applyAlignment="1">
      <alignment wrapText="1"/>
    </xf>
    <xf numFmtId="0" fontId="2" fillId="0" borderId="59" xfId="0" applyFont="1" applyFill="1" applyBorder="1" applyAlignment="1">
      <alignment horizontal="left"/>
    </xf>
    <xf numFmtId="4" fontId="2" fillId="0" borderId="59" xfId="0" applyNumberFormat="1" applyFont="1" applyFill="1" applyBorder="1" applyAlignment="1"/>
    <xf numFmtId="0" fontId="2" fillId="0" borderId="4" xfId="0" applyFont="1" applyFill="1" applyBorder="1" applyAlignment="1"/>
    <xf numFmtId="0" fontId="2" fillId="0" borderId="78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left"/>
    </xf>
    <xf numFmtId="4" fontId="2" fillId="0" borderId="47" xfId="0" applyNumberFormat="1" applyFont="1" applyFill="1" applyBorder="1" applyAlignment="1"/>
    <xf numFmtId="4" fontId="2" fillId="0" borderId="47" xfId="0" applyNumberFormat="1" applyFont="1" applyFill="1" applyBorder="1" applyAlignment="1">
      <alignment wrapText="1"/>
    </xf>
    <xf numFmtId="0" fontId="2" fillId="0" borderId="63" xfId="0" applyFont="1" applyFill="1" applyBorder="1" applyAlignment="1">
      <alignment wrapText="1"/>
    </xf>
    <xf numFmtId="0" fontId="2" fillId="0" borderId="42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/>
    </xf>
    <xf numFmtId="0" fontId="2" fillId="0" borderId="46" xfId="0" applyFont="1" applyFill="1" applyBorder="1" applyAlignment="1"/>
    <xf numFmtId="0" fontId="2" fillId="0" borderId="4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left" vertical="center" wrapText="1"/>
    </xf>
    <xf numFmtId="49" fontId="2" fillId="0" borderId="5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left" vertical="center" wrapText="1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/>
    </xf>
    <xf numFmtId="4" fontId="2" fillId="0" borderId="4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right" vertical="center"/>
    </xf>
    <xf numFmtId="0" fontId="2" fillId="0" borderId="59" xfId="0" applyFont="1" applyFill="1" applyBorder="1" applyAlignment="1">
      <alignment vertical="center"/>
    </xf>
    <xf numFmtId="4" fontId="2" fillId="0" borderId="59" xfId="0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4" fontId="2" fillId="0" borderId="46" xfId="0" applyNumberFormat="1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vertical="center"/>
    </xf>
    <xf numFmtId="4" fontId="3" fillId="0" borderId="42" xfId="0" applyNumberFormat="1" applyFont="1" applyFill="1" applyBorder="1" applyAlignment="1"/>
    <xf numFmtId="4" fontId="3" fillId="0" borderId="42" xfId="0" applyNumberFormat="1" applyFont="1" applyFill="1" applyBorder="1" applyAlignment="1">
      <alignment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wrapText="1"/>
    </xf>
    <xf numFmtId="0" fontId="3" fillId="0" borderId="4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wrapText="1"/>
    </xf>
    <xf numFmtId="0" fontId="2" fillId="0" borderId="47" xfId="0" applyFont="1" applyFill="1" applyBorder="1" applyAlignment="1">
      <alignment wrapText="1"/>
    </xf>
    <xf numFmtId="0" fontId="2" fillId="0" borderId="63" xfId="0" applyFont="1" applyFill="1" applyBorder="1"/>
    <xf numFmtId="0" fontId="2" fillId="0" borderId="60" xfId="0" applyFont="1" applyFill="1" applyBorder="1"/>
    <xf numFmtId="4" fontId="3" fillId="0" borderId="42" xfId="0" applyNumberFormat="1" applyFont="1" applyFill="1" applyBorder="1"/>
    <xf numFmtId="0" fontId="3" fillId="0" borderId="48" xfId="0" applyFont="1" applyFill="1" applyBorder="1"/>
    <xf numFmtId="49" fontId="2" fillId="0" borderId="42" xfId="0" applyNumberFormat="1" applyFont="1" applyFill="1" applyBorder="1" applyAlignment="1"/>
    <xf numFmtId="49" fontId="2" fillId="0" borderId="59" xfId="0" applyNumberFormat="1" applyFont="1" applyFill="1" applyBorder="1" applyAlignment="1">
      <alignment horizontal="center"/>
    </xf>
    <xf numFmtId="49" fontId="2" fillId="0" borderId="59" xfId="0" applyNumberFormat="1" applyFont="1" applyFill="1" applyBorder="1" applyAlignment="1"/>
    <xf numFmtId="4" fontId="2" fillId="0" borderId="59" xfId="0" applyNumberFormat="1" applyFont="1" applyFill="1" applyBorder="1"/>
    <xf numFmtId="49" fontId="2" fillId="0" borderId="47" xfId="0" applyNumberFormat="1" applyFont="1" applyFill="1" applyBorder="1" applyAlignment="1">
      <alignment horizontal="center"/>
    </xf>
    <xf numFmtId="49" fontId="2" fillId="0" borderId="47" xfId="0" applyNumberFormat="1" applyFont="1" applyFill="1" applyBorder="1" applyAlignment="1"/>
    <xf numFmtId="4" fontId="2" fillId="0" borderId="47" xfId="0" applyNumberFormat="1" applyFont="1" applyFill="1" applyBorder="1"/>
    <xf numFmtId="0" fontId="2" fillId="0" borderId="3" xfId="0" applyFont="1" applyFill="1" applyBorder="1" applyAlignment="1">
      <alignment horizontal="center"/>
    </xf>
    <xf numFmtId="4" fontId="2" fillId="0" borderId="3" xfId="0" applyNumberFormat="1" applyFont="1" applyFill="1" applyBorder="1"/>
    <xf numFmtId="0" fontId="2" fillId="0" borderId="52" xfId="0" applyFont="1" applyFill="1" applyBorder="1"/>
    <xf numFmtId="0" fontId="17" fillId="0" borderId="0" xfId="0" applyFont="1" applyFill="1" applyBorder="1" applyAlignment="1" applyProtection="1">
      <alignment wrapText="1"/>
      <protection locked="0"/>
    </xf>
    <xf numFmtId="0" fontId="17" fillId="0" borderId="0" xfId="0" applyFont="1" applyFill="1" applyBorder="1" applyAlignment="1">
      <alignment wrapText="1"/>
    </xf>
    <xf numFmtId="0" fontId="2" fillId="0" borderId="79" xfId="0" applyFont="1" applyFill="1" applyBorder="1" applyProtection="1">
      <protection locked="0"/>
    </xf>
    <xf numFmtId="0" fontId="2" fillId="0" borderId="80" xfId="0" applyFont="1" applyFill="1" applyBorder="1" applyProtection="1">
      <protection locked="0"/>
    </xf>
    <xf numFmtId="0" fontId="2" fillId="0" borderId="81" xfId="0" applyFont="1" applyFill="1" applyBorder="1" applyProtection="1">
      <protection locked="0"/>
    </xf>
    <xf numFmtId="0" fontId="2" fillId="0" borderId="82" xfId="0" applyFont="1" applyFill="1" applyBorder="1" applyProtection="1">
      <protection locked="0"/>
    </xf>
    <xf numFmtId="0" fontId="2" fillId="0" borderId="83" xfId="0" applyFont="1" applyFill="1" applyBorder="1" applyProtection="1">
      <protection locked="0"/>
    </xf>
    <xf numFmtId="0" fontId="2" fillId="0" borderId="82" xfId="0" applyFont="1" applyFill="1" applyBorder="1"/>
    <xf numFmtId="0" fontId="2" fillId="0" borderId="83" xfId="0" applyFont="1" applyFill="1" applyBorder="1"/>
    <xf numFmtId="0" fontId="0" fillId="0" borderId="82" xfId="0" applyBorder="1"/>
    <xf numFmtId="0" fontId="0" fillId="0" borderId="83" xfId="0" applyBorder="1"/>
    <xf numFmtId="0" fontId="2" fillId="0" borderId="20" xfId="0" applyFont="1" applyFill="1" applyBorder="1" applyProtection="1">
      <protection locked="0"/>
    </xf>
    <xf numFmtId="0" fontId="2" fillId="0" borderId="21" xfId="0" applyFont="1" applyFill="1" applyBorder="1" applyProtection="1">
      <protection locked="0"/>
    </xf>
    <xf numFmtId="0" fontId="17" fillId="0" borderId="21" xfId="0" applyFont="1" applyFill="1" applyBorder="1" applyAlignment="1" applyProtection="1">
      <alignment wrapText="1"/>
      <protection locked="0"/>
    </xf>
    <xf numFmtId="49" fontId="2" fillId="0" borderId="84" xfId="0" applyNumberFormat="1" applyFont="1" applyFill="1" applyBorder="1" applyAlignment="1"/>
    <xf numFmtId="0" fontId="2" fillId="0" borderId="84" xfId="0" applyFont="1" applyFill="1" applyBorder="1" applyProtection="1">
      <protection locked="0"/>
    </xf>
    <xf numFmtId="49" fontId="2" fillId="0" borderId="76" xfId="0" applyNumberFormat="1" applyFont="1" applyFill="1" applyBorder="1" applyAlignment="1"/>
    <xf numFmtId="0" fontId="2" fillId="0" borderId="77" xfId="0" applyFont="1" applyBorder="1" applyProtection="1">
      <protection locked="0"/>
    </xf>
    <xf numFmtId="0" fontId="2" fillId="0" borderId="85" xfId="0" applyFont="1" applyBorder="1" applyProtection="1">
      <protection locked="0"/>
    </xf>
    <xf numFmtId="0" fontId="0" fillId="0" borderId="24" xfId="0" applyBorder="1"/>
    <xf numFmtId="0" fontId="0" fillId="0" borderId="86" xfId="0" applyBorder="1"/>
    <xf numFmtId="0" fontId="0" fillId="0" borderId="87" xfId="0" applyBorder="1"/>
    <xf numFmtId="0" fontId="0" fillId="0" borderId="27" xfId="0" applyBorder="1"/>
    <xf numFmtId="164" fontId="4" fillId="0" borderId="0" xfId="0" applyNumberFormat="1" applyFont="1" applyFill="1" applyBorder="1" applyAlignment="1">
      <alignment wrapText="1"/>
    </xf>
    <xf numFmtId="43" fontId="4" fillId="0" borderId="0" xfId="0" applyNumberFormat="1" applyFont="1" applyFill="1" applyBorder="1" applyAlignment="1">
      <alignment wrapText="1"/>
    </xf>
    <xf numFmtId="43" fontId="8" fillId="0" borderId="0" xfId="0" applyNumberFormat="1" applyFont="1" applyFill="1" applyBorder="1"/>
    <xf numFmtId="0" fontId="16" fillId="2" borderId="42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/>
    </xf>
    <xf numFmtId="49" fontId="15" fillId="2" borderId="42" xfId="0" applyNumberFormat="1" applyFont="1" applyFill="1" applyBorder="1" applyAlignment="1">
      <alignment horizontal="center" vertical="center" wrapText="1"/>
    </xf>
    <xf numFmtId="49" fontId="15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4" fillId="2" borderId="46" xfId="0" applyFont="1" applyFill="1" applyBorder="1" applyAlignment="1"/>
    <xf numFmtId="0" fontId="14" fillId="2" borderId="48" xfId="0" applyFont="1" applyFill="1" applyBorder="1" applyAlignment="1"/>
    <xf numFmtId="0" fontId="13" fillId="2" borderId="3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/>
    <xf numFmtId="0" fontId="14" fillId="2" borderId="40" xfId="0" applyFont="1" applyFill="1" applyBorder="1" applyAlignment="1"/>
    <xf numFmtId="0" fontId="15" fillId="2" borderId="39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0" fontId="2" fillId="0" borderId="4" xfId="6" applyNumberFormat="1" applyFont="1" applyBorder="1" applyAlignment="1">
      <alignment horizontal="right" vertical="center"/>
    </xf>
    <xf numFmtId="10" fontId="2" fillId="0" borderId="1" xfId="6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4" xfId="1" applyFont="1" applyBorder="1" applyAlignment="1">
      <alignment horizontal="center" vertical="center"/>
    </xf>
    <xf numFmtId="164" fontId="2" fillId="0" borderId="38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0" xfId="1" applyFont="1" applyBorder="1" applyAlignment="1">
      <alignment horizontal="center" vertical="center"/>
    </xf>
    <xf numFmtId="166" fontId="3" fillId="0" borderId="49" xfId="0" applyNumberFormat="1" applyFont="1" applyBorder="1" applyAlignment="1">
      <alignment horizontal="left"/>
    </xf>
    <xf numFmtId="166" fontId="3" fillId="0" borderId="2" xfId="0" applyNumberFormat="1" applyFont="1" applyBorder="1" applyAlignment="1">
      <alignment horizontal="left"/>
    </xf>
    <xf numFmtId="164" fontId="2" fillId="0" borderId="3" xfId="1" applyFont="1" applyBorder="1" applyAlignment="1">
      <alignment horizontal="center" vertical="center"/>
    </xf>
    <xf numFmtId="164" fontId="2" fillId="0" borderId="52" xfId="1" applyFont="1" applyBorder="1" applyAlignment="1">
      <alignment horizontal="center" vertical="center"/>
    </xf>
    <xf numFmtId="164" fontId="2" fillId="0" borderId="59" xfId="1" applyFont="1" applyBorder="1" applyAlignment="1">
      <alignment horizontal="center" vertical="center"/>
    </xf>
    <xf numFmtId="164" fontId="2" fillId="0" borderId="60" xfId="1" applyFont="1" applyBorder="1" applyAlignment="1">
      <alignment horizontal="center" vertical="center"/>
    </xf>
    <xf numFmtId="166" fontId="3" fillId="0" borderId="57" xfId="0" applyNumberFormat="1" applyFont="1" applyBorder="1" applyAlignment="1">
      <alignment horizontal="left"/>
    </xf>
    <xf numFmtId="166" fontId="3" fillId="0" borderId="58" xfId="0" applyNumberFormat="1" applyFont="1" applyBorder="1" applyAlignment="1">
      <alignment horizontal="left"/>
    </xf>
    <xf numFmtId="164" fontId="2" fillId="0" borderId="61" xfId="1" applyFont="1" applyBorder="1" applyAlignment="1">
      <alignment horizontal="center" vertical="center"/>
    </xf>
    <xf numFmtId="164" fontId="2" fillId="0" borderId="62" xfId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6" fontId="3" fillId="0" borderId="6" xfId="0" applyNumberFormat="1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5" xfId="1" applyFont="1" applyBorder="1" applyAlignment="1">
      <alignment horizontal="center"/>
    </xf>
    <xf numFmtId="164" fontId="3" fillId="0" borderId="50" xfId="1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164" fontId="2" fillId="2" borderId="1" xfId="1" applyFont="1" applyFill="1" applyBorder="1" applyAlignment="1">
      <alignment horizontal="right" vertical="center"/>
    </xf>
    <xf numFmtId="10" fontId="2" fillId="0" borderId="12" xfId="6" applyNumberFormat="1" applyFont="1" applyBorder="1" applyAlignment="1">
      <alignment horizontal="right" vertical="center"/>
    </xf>
    <xf numFmtId="10" fontId="2" fillId="0" borderId="5" xfId="6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164" fontId="2" fillId="2" borderId="42" xfId="1" applyFont="1" applyFill="1" applyBorder="1" applyAlignment="1">
      <alignment horizontal="right" vertical="center"/>
    </xf>
    <xf numFmtId="10" fontId="2" fillId="0" borderId="53" xfId="6" applyNumberFormat="1" applyFont="1" applyBorder="1" applyAlignment="1">
      <alignment horizontal="right" vertical="center"/>
    </xf>
    <xf numFmtId="164" fontId="2" fillId="0" borderId="42" xfId="1" applyFont="1" applyBorder="1" applyAlignment="1">
      <alignment horizontal="center" vertical="center"/>
    </xf>
    <xf numFmtId="164" fontId="2" fillId="0" borderId="44" xfId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164" fontId="2" fillId="2" borderId="46" xfId="1" applyFont="1" applyFill="1" applyBorder="1" applyAlignment="1">
      <alignment horizontal="right" vertical="center"/>
    </xf>
    <xf numFmtId="10" fontId="2" fillId="0" borderId="54" xfId="6" applyNumberFormat="1" applyFont="1" applyBorder="1" applyAlignment="1">
      <alignment horizontal="right" vertical="center"/>
    </xf>
    <xf numFmtId="164" fontId="2" fillId="0" borderId="46" xfId="1" applyFont="1" applyBorder="1" applyAlignment="1">
      <alignment horizontal="center" vertical="center"/>
    </xf>
    <xf numFmtId="164" fontId="2" fillId="0" borderId="48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164" fontId="2" fillId="0" borderId="50" xfId="1" applyFont="1" applyBorder="1" applyAlignment="1">
      <alignment horizontal="center" vertical="center"/>
    </xf>
    <xf numFmtId="166" fontId="3" fillId="0" borderId="51" xfId="0" applyNumberFormat="1" applyFont="1" applyBorder="1" applyAlignment="1">
      <alignment horizontal="left"/>
    </xf>
    <xf numFmtId="166" fontId="3" fillId="0" borderId="7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2" borderId="4" xfId="1" applyFont="1" applyFill="1" applyBorder="1" applyAlignment="1">
      <alignment horizontal="right" vertical="center"/>
    </xf>
    <xf numFmtId="10" fontId="2" fillId="0" borderId="46" xfId="6" applyNumberFormat="1" applyFont="1" applyBorder="1" applyAlignment="1">
      <alignment horizontal="right" vertical="center"/>
    </xf>
    <xf numFmtId="10" fontId="2" fillId="0" borderId="42" xfId="6" applyNumberFormat="1" applyFont="1" applyBorder="1" applyAlignment="1">
      <alignment horizontal="right" vertical="center"/>
    </xf>
    <xf numFmtId="164" fontId="2" fillId="2" borderId="1" xfId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6" fontId="3" fillId="0" borderId="28" xfId="0" applyNumberFormat="1" applyFont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1" fontId="21" fillId="0" borderId="0" xfId="0" applyNumberFormat="1" applyFont="1" applyBorder="1" applyAlignment="1">
      <alignment horizontal="left" wrapText="1"/>
    </xf>
    <xf numFmtId="1" fontId="21" fillId="0" borderId="24" xfId="0" applyNumberFormat="1" applyFont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7" fillId="2" borderId="23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164" fontId="29" fillId="2" borderId="1" xfId="1" applyFont="1" applyFill="1" applyBorder="1" applyAlignment="1">
      <alignment horizontal="right"/>
    </xf>
    <xf numFmtId="164" fontId="31" fillId="2" borderId="1" xfId="1" applyFont="1" applyFill="1" applyBorder="1" applyAlignment="1">
      <alignment horizontal="right"/>
    </xf>
    <xf numFmtId="164" fontId="29" fillId="2" borderId="42" xfId="1" applyFont="1" applyFill="1" applyBorder="1" applyAlignment="1">
      <alignment horizontal="right"/>
    </xf>
    <xf numFmtId="164" fontId="29" fillId="2" borderId="46" xfId="1" applyFont="1" applyFill="1" applyBorder="1" applyAlignment="1">
      <alignment horizontal="right"/>
    </xf>
    <xf numFmtId="0" fontId="15" fillId="0" borderId="88" xfId="0" applyFont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16" fillId="0" borderId="92" xfId="0" applyFont="1" applyBorder="1" applyAlignment="1">
      <alignment vertical="center" wrapText="1"/>
    </xf>
    <xf numFmtId="0" fontId="16" fillId="0" borderId="93" xfId="0" applyFont="1" applyBorder="1" applyAlignment="1">
      <alignment vertical="center" wrapText="1"/>
    </xf>
    <xf numFmtId="0" fontId="16" fillId="0" borderId="94" xfId="0" applyFont="1" applyBorder="1" applyAlignment="1">
      <alignment vertical="center" wrapText="1"/>
    </xf>
    <xf numFmtId="0" fontId="16" fillId="0" borderId="96" xfId="0" applyFont="1" applyBorder="1" applyAlignment="1">
      <alignment vertical="center" wrapText="1"/>
    </xf>
    <xf numFmtId="0" fontId="15" fillId="0" borderId="97" xfId="0" applyFont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49" fontId="28" fillId="0" borderId="98" xfId="0" applyNumberFormat="1" applyFont="1" applyBorder="1" applyAlignment="1">
      <alignment horizontal="center" vertical="center" wrapText="1"/>
    </xf>
    <xf numFmtId="49" fontId="28" fillId="0" borderId="99" xfId="0" applyNumberFormat="1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16" fillId="0" borderId="98" xfId="0" applyFont="1" applyBorder="1" applyAlignment="1">
      <alignment horizontal="left" vertical="center" wrapText="1"/>
    </xf>
    <xf numFmtId="0" fontId="16" fillId="0" borderId="101" xfId="0" applyFont="1" applyBorder="1" applyAlignment="1">
      <alignment horizontal="left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8" fillId="0" borderId="94" xfId="0" applyFont="1" applyBorder="1" applyAlignment="1">
      <alignment horizontal="center" vertical="center" wrapText="1"/>
    </xf>
    <xf numFmtId="0" fontId="28" fillId="0" borderId="95" xfId="0" applyFont="1" applyBorder="1" applyAlignment="1">
      <alignment horizontal="center" vertical="center" wrapText="1"/>
    </xf>
    <xf numFmtId="0" fontId="28" fillId="0" borderId="96" xfId="0" applyFont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6" fillId="2" borderId="43" xfId="0" applyFont="1" applyFill="1" applyBorder="1" applyAlignment="1">
      <alignment horizontal="center" vertical="center" wrapText="1"/>
    </xf>
    <xf numFmtId="4" fontId="29" fillId="0" borderId="46" xfId="0" applyNumberFormat="1" applyFont="1" applyFill="1" applyBorder="1"/>
    <xf numFmtId="4" fontId="29" fillId="0" borderId="1" xfId="0" applyNumberFormat="1" applyFont="1" applyFill="1" applyBorder="1"/>
    <xf numFmtId="164" fontId="29" fillId="0" borderId="1" xfId="1" applyFont="1" applyFill="1" applyBorder="1"/>
    <xf numFmtId="164" fontId="29" fillId="0" borderId="42" xfId="1" applyFont="1" applyFill="1" applyBorder="1"/>
    <xf numFmtId="164" fontId="29" fillId="0" borderId="46" xfId="1" applyFont="1" applyFill="1" applyBorder="1"/>
    <xf numFmtId="164" fontId="29" fillId="0" borderId="3" xfId="1" applyFont="1" applyFill="1" applyBorder="1"/>
    <xf numFmtId="164" fontId="29" fillId="0" borderId="76" xfId="1" applyFont="1" applyFill="1" applyBorder="1"/>
    <xf numFmtId="164" fontId="29" fillId="0" borderId="59" xfId="1" applyFont="1" applyFill="1" applyBorder="1"/>
    <xf numFmtId="164" fontId="29" fillId="0" borderId="61" xfId="1" applyFont="1" applyFill="1" applyBorder="1"/>
    <xf numFmtId="164" fontId="29" fillId="0" borderId="4" xfId="1" applyFont="1" applyFill="1" applyBorder="1"/>
    <xf numFmtId="164" fontId="29" fillId="0" borderId="47" xfId="1" applyFont="1" applyFill="1" applyBorder="1"/>
    <xf numFmtId="49" fontId="31" fillId="0" borderId="1" xfId="0" applyNumberFormat="1" applyFont="1" applyFill="1" applyBorder="1" applyAlignment="1">
      <alignment horizontal="right" wrapText="1"/>
    </xf>
    <xf numFmtId="49" fontId="31" fillId="0" borderId="1" xfId="0" applyNumberFormat="1" applyFont="1" applyFill="1" applyBorder="1" applyAlignment="1">
      <alignment horizontal="right"/>
    </xf>
    <xf numFmtId="4" fontId="29" fillId="0" borderId="1" xfId="0" applyNumberFormat="1" applyFont="1" applyFill="1" applyBorder="1" applyAlignment="1">
      <alignment horizontal="right"/>
    </xf>
    <xf numFmtId="4" fontId="29" fillId="0" borderId="3" xfId="0" applyNumberFormat="1" applyFont="1" applyFill="1" applyBorder="1" applyAlignment="1">
      <alignment horizontal="right"/>
    </xf>
    <xf numFmtId="0" fontId="32" fillId="0" borderId="23" xfId="0" applyFont="1" applyBorder="1" applyAlignment="1">
      <alignment vertical="center"/>
    </xf>
  </cellXfs>
  <cellStyles count="8">
    <cellStyle name="Moeda" xfId="5" builtinId="4"/>
    <cellStyle name="Normal" xfId="0" builtinId="0"/>
    <cellStyle name="Normal 2" xfId="2"/>
    <cellStyle name="Normal 3" xfId="7"/>
    <cellStyle name="Porcentagem" xfId="6" builtinId="5"/>
    <cellStyle name="Vírgula" xfId="1" builtinId="3"/>
    <cellStyle name="Vírgula 2" xfId="3"/>
    <cellStyle name="Vírgula 3" xfId="4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showGridLines="0" tabSelected="1" view="pageBreakPreview" zoomScale="93" zoomScaleNormal="25" zoomScaleSheetLayoutView="93" workbookViewId="0">
      <selection activeCell="A4" sqref="A4:H4"/>
    </sheetView>
  </sheetViews>
  <sheetFormatPr defaultRowHeight="12.75" x14ac:dyDescent="0.2"/>
  <cols>
    <col min="1" max="1" width="10.42578125" style="13" customWidth="1"/>
    <col min="2" max="2" width="13" style="15" customWidth="1"/>
    <col min="3" max="3" width="74" style="22" customWidth="1"/>
    <col min="4" max="4" width="7.85546875" style="15" customWidth="1"/>
    <col min="5" max="5" width="10.7109375" style="6" customWidth="1"/>
    <col min="6" max="6" width="19" style="7" customWidth="1"/>
    <col min="7" max="7" width="18.7109375" style="17" customWidth="1"/>
    <col min="8" max="8" width="20.85546875" style="13" customWidth="1"/>
    <col min="9" max="9" width="6.5703125" style="13" customWidth="1"/>
    <col min="10" max="10" width="9.140625" style="13" hidden="1" customWidth="1"/>
    <col min="11" max="11" width="14.85546875" style="13" customWidth="1"/>
    <col min="12" max="13" width="10.42578125" style="13" bestFit="1" customWidth="1"/>
    <col min="14" max="16384" width="9.140625" style="13"/>
  </cols>
  <sheetData>
    <row r="1" spans="1:8" x14ac:dyDescent="0.2">
      <c r="A1" s="207"/>
      <c r="B1" s="208"/>
      <c r="C1" s="208"/>
      <c r="D1" s="208"/>
      <c r="E1" s="208"/>
      <c r="F1" s="208"/>
      <c r="G1" s="208"/>
      <c r="H1" s="209"/>
    </row>
    <row r="2" spans="1:8" x14ac:dyDescent="0.2">
      <c r="A2" s="210"/>
      <c r="B2" s="26"/>
      <c r="C2" s="26"/>
      <c r="D2" s="26"/>
      <c r="E2" s="26"/>
      <c r="F2" s="26"/>
      <c r="G2" s="26"/>
      <c r="H2" s="211"/>
    </row>
    <row r="3" spans="1:8" ht="15" x14ac:dyDescent="0.2">
      <c r="A3" s="585" t="s">
        <v>1383</v>
      </c>
      <c r="B3" s="586"/>
      <c r="C3" s="586"/>
      <c r="D3" s="586"/>
      <c r="E3" s="586"/>
      <c r="F3" s="586"/>
      <c r="G3" s="586"/>
      <c r="H3" s="587"/>
    </row>
    <row r="4" spans="1:8" ht="15" x14ac:dyDescent="0.2">
      <c r="A4" s="458"/>
      <c r="B4" s="459"/>
      <c r="C4" s="459"/>
      <c r="D4" s="459"/>
      <c r="E4" s="459"/>
      <c r="F4" s="459"/>
      <c r="G4" s="459"/>
      <c r="H4" s="460"/>
    </row>
    <row r="5" spans="1:8" ht="14.25" x14ac:dyDescent="0.2">
      <c r="A5" s="461"/>
      <c r="B5" s="462"/>
      <c r="C5" s="462"/>
      <c r="D5" s="462"/>
      <c r="E5" s="462"/>
      <c r="F5" s="462"/>
      <c r="G5" s="462"/>
      <c r="H5" s="463"/>
    </row>
    <row r="6" spans="1:8" ht="15.75" x14ac:dyDescent="0.2">
      <c r="A6" s="212"/>
      <c r="B6" s="39"/>
      <c r="C6" s="39"/>
      <c r="D6" s="39"/>
      <c r="E6" s="39"/>
      <c r="F6" s="39"/>
      <c r="G6" s="39"/>
      <c r="H6" s="213"/>
    </row>
    <row r="7" spans="1:8" ht="16.5" thickBot="1" x14ac:dyDescent="0.25">
      <c r="A7" s="214"/>
      <c r="B7" s="215"/>
      <c r="C7" s="215"/>
      <c r="D7" s="215"/>
      <c r="E7" s="215"/>
      <c r="F7" s="215"/>
      <c r="G7" s="215"/>
      <c r="H7" s="216"/>
    </row>
    <row r="8" spans="1:8" ht="12.75" customHeight="1" x14ac:dyDescent="0.2">
      <c r="A8" s="464" t="s">
        <v>1381</v>
      </c>
      <c r="B8" s="465"/>
      <c r="C8" s="465"/>
      <c r="D8" s="465"/>
      <c r="E8" s="465"/>
      <c r="F8" s="465"/>
      <c r="G8" s="466"/>
      <c r="H8" s="467"/>
    </row>
    <row r="9" spans="1:8" ht="13.5" customHeight="1" x14ac:dyDescent="0.2">
      <c r="A9" s="468"/>
      <c r="B9" s="469"/>
      <c r="C9" s="469"/>
      <c r="D9" s="469"/>
      <c r="E9" s="469"/>
      <c r="F9" s="469"/>
      <c r="G9" s="470"/>
      <c r="H9" s="471"/>
    </row>
    <row r="10" spans="1:8" ht="24.95" customHeight="1" x14ac:dyDescent="0.2">
      <c r="A10" s="472" t="s">
        <v>208</v>
      </c>
      <c r="B10" s="473" t="s">
        <v>625</v>
      </c>
      <c r="C10" s="474"/>
      <c r="D10" s="588" t="s">
        <v>1382</v>
      </c>
      <c r="E10" s="588"/>
      <c r="F10" s="588"/>
      <c r="G10" s="475" t="s">
        <v>209</v>
      </c>
      <c r="H10" s="476"/>
    </row>
    <row r="11" spans="1:8" ht="28.5" customHeight="1" x14ac:dyDescent="0.2">
      <c r="A11" s="472"/>
      <c r="B11" s="474"/>
      <c r="C11" s="474"/>
      <c r="D11" s="589"/>
      <c r="E11" s="589"/>
      <c r="F11" s="589"/>
      <c r="G11" s="590" t="s">
        <v>786</v>
      </c>
      <c r="H11" s="591"/>
    </row>
    <row r="12" spans="1:8" ht="60" customHeight="1" thickBot="1" x14ac:dyDescent="0.25">
      <c r="A12" s="217" t="s">
        <v>210</v>
      </c>
      <c r="B12" s="452" t="s">
        <v>624</v>
      </c>
      <c r="C12" s="453"/>
      <c r="D12" s="456" t="s">
        <v>214</v>
      </c>
      <c r="E12" s="457"/>
      <c r="F12" s="457"/>
      <c r="G12" s="454" t="s">
        <v>1384</v>
      </c>
      <c r="H12" s="455"/>
    </row>
    <row r="13" spans="1:8" s="623" customFormat="1" ht="15" customHeight="1" x14ac:dyDescent="0.2">
      <c r="A13" s="477" t="s">
        <v>162</v>
      </c>
      <c r="B13" s="479" t="s">
        <v>213</v>
      </c>
      <c r="C13" s="481" t="s">
        <v>211</v>
      </c>
      <c r="D13" s="481" t="s">
        <v>163</v>
      </c>
      <c r="E13" s="481" t="s">
        <v>212</v>
      </c>
      <c r="F13" s="622" t="s">
        <v>1386</v>
      </c>
      <c r="G13" s="622" t="s">
        <v>1387</v>
      </c>
      <c r="H13" s="620" t="s">
        <v>1388</v>
      </c>
    </row>
    <row r="14" spans="1:8" s="623" customFormat="1" ht="30" customHeight="1" thickBot="1" x14ac:dyDescent="0.25">
      <c r="A14" s="478"/>
      <c r="B14" s="480"/>
      <c r="C14" s="482"/>
      <c r="D14" s="482"/>
      <c r="E14" s="482"/>
      <c r="F14" s="624"/>
      <c r="G14" s="624"/>
      <c r="H14" s="621"/>
    </row>
    <row r="15" spans="1:8" s="10" customFormat="1" ht="12.75" customHeight="1" x14ac:dyDescent="0.2">
      <c r="A15" s="218" t="s">
        <v>215</v>
      </c>
      <c r="B15" s="219"/>
      <c r="C15" s="220" t="s">
        <v>226</v>
      </c>
      <c r="D15" s="221"/>
      <c r="E15" s="222"/>
      <c r="F15" s="222"/>
      <c r="G15" s="222"/>
      <c r="H15" s="223"/>
    </row>
    <row r="16" spans="1:8" ht="13.5" customHeight="1" x14ac:dyDescent="0.2">
      <c r="A16" s="224" t="s">
        <v>216</v>
      </c>
      <c r="B16" s="51"/>
      <c r="C16" s="64" t="s">
        <v>225</v>
      </c>
      <c r="D16" s="32"/>
      <c r="E16" s="47"/>
      <c r="F16" s="47"/>
      <c r="G16" s="37"/>
      <c r="H16" s="225"/>
    </row>
    <row r="17" spans="1:13" s="12" customFormat="1" ht="28.5" customHeight="1" x14ac:dyDescent="0.2">
      <c r="A17" s="226" t="s">
        <v>620</v>
      </c>
      <c r="B17" s="54">
        <v>41598</v>
      </c>
      <c r="C17" s="48" t="s">
        <v>711</v>
      </c>
      <c r="D17" s="33" t="s">
        <v>622</v>
      </c>
      <c r="E17" s="36">
        <v>1</v>
      </c>
      <c r="F17" s="592">
        <v>1202.07</v>
      </c>
      <c r="G17" s="592">
        <f>SUM(F17*1.2763)</f>
        <v>1534.2019409999998</v>
      </c>
      <c r="H17" s="225">
        <f t="shared" ref="H17:H26" si="0">TRUNC((E17*G17),2)</f>
        <v>1534.2</v>
      </c>
    </row>
    <row r="18" spans="1:13" s="12" customFormat="1" ht="28.5" customHeight="1" x14ac:dyDescent="0.2">
      <c r="A18" s="226" t="s">
        <v>621</v>
      </c>
      <c r="B18" s="54" t="s">
        <v>672</v>
      </c>
      <c r="C18" s="48" t="s">
        <v>712</v>
      </c>
      <c r="D18" s="33" t="s">
        <v>111</v>
      </c>
      <c r="E18" s="36">
        <v>6</v>
      </c>
      <c r="F18" s="592">
        <v>401.2</v>
      </c>
      <c r="G18" s="592">
        <f t="shared" ref="G18:G85" si="1">SUM(F18*1.2763)</f>
        <v>512.05155999999999</v>
      </c>
      <c r="H18" s="225">
        <f t="shared" si="0"/>
        <v>3072.3</v>
      </c>
    </row>
    <row r="19" spans="1:13" s="12" customFormat="1" x14ac:dyDescent="0.2">
      <c r="A19" s="226" t="s">
        <v>626</v>
      </c>
      <c r="B19" s="52" t="s">
        <v>713</v>
      </c>
      <c r="C19" s="48" t="s">
        <v>714</v>
      </c>
      <c r="D19" s="33" t="s">
        <v>111</v>
      </c>
      <c r="E19" s="36">
        <v>600</v>
      </c>
      <c r="F19" s="592">
        <v>3.41</v>
      </c>
      <c r="G19" s="592">
        <f t="shared" si="1"/>
        <v>4.3521830000000001</v>
      </c>
      <c r="H19" s="225">
        <f t="shared" si="0"/>
        <v>2611.3000000000002</v>
      </c>
    </row>
    <row r="20" spans="1:13" s="12" customFormat="1" ht="25.5" customHeight="1" x14ac:dyDescent="0.2">
      <c r="A20" s="226" t="s">
        <v>627</v>
      </c>
      <c r="B20" s="52">
        <v>83730</v>
      </c>
      <c r="C20" s="48" t="s">
        <v>623</v>
      </c>
      <c r="D20" s="33" t="s">
        <v>111</v>
      </c>
      <c r="E20" s="36">
        <v>2</v>
      </c>
      <c r="F20" s="592">
        <v>185.56</v>
      </c>
      <c r="G20" s="592">
        <f t="shared" si="1"/>
        <v>236.83022800000001</v>
      </c>
      <c r="H20" s="225">
        <f t="shared" si="0"/>
        <v>473.66</v>
      </c>
    </row>
    <row r="21" spans="1:13" s="12" customFormat="1" x14ac:dyDescent="0.2">
      <c r="A21" s="226"/>
      <c r="B21" s="52" t="s">
        <v>716</v>
      </c>
      <c r="C21" s="48" t="s">
        <v>715</v>
      </c>
      <c r="D21" s="33" t="s">
        <v>111</v>
      </c>
      <c r="E21" s="36">
        <v>1304.0999999999999</v>
      </c>
      <c r="F21" s="592">
        <v>1.43</v>
      </c>
      <c r="G21" s="592">
        <f t="shared" si="1"/>
        <v>1.8251089999999999</v>
      </c>
      <c r="H21" s="225">
        <f t="shared" si="0"/>
        <v>2380.12</v>
      </c>
    </row>
    <row r="22" spans="1:13" s="12" customFormat="1" x14ac:dyDescent="0.2">
      <c r="A22" s="226" t="s">
        <v>642</v>
      </c>
      <c r="B22" s="52">
        <v>9537</v>
      </c>
      <c r="C22" s="48" t="s">
        <v>773</v>
      </c>
      <c r="D22" s="33" t="s">
        <v>111</v>
      </c>
      <c r="E22" s="36">
        <f>140.75+164.56+123.32+123.32+79.04+79.04+115.76+75.33</f>
        <v>901.12</v>
      </c>
      <c r="F22" s="592">
        <v>2.06</v>
      </c>
      <c r="G22" s="592">
        <f t="shared" si="1"/>
        <v>2.629178</v>
      </c>
      <c r="H22" s="225">
        <f t="shared" si="0"/>
        <v>2369.1999999999998</v>
      </c>
      <c r="K22" s="449"/>
      <c r="L22" s="450"/>
      <c r="M22" s="450"/>
    </row>
    <row r="23" spans="1:13" s="12" customFormat="1" x14ac:dyDescent="0.2">
      <c r="A23" s="270" t="s">
        <v>216</v>
      </c>
      <c r="B23" s="52"/>
      <c r="C23" s="64" t="s">
        <v>1375</v>
      </c>
      <c r="D23" s="33"/>
      <c r="E23" s="36"/>
      <c r="F23" s="592"/>
      <c r="G23" s="592"/>
      <c r="H23" s="225"/>
    </row>
    <row r="24" spans="1:13" s="12" customFormat="1" x14ac:dyDescent="0.2">
      <c r="A24" s="270" t="s">
        <v>1380</v>
      </c>
      <c r="B24" s="52"/>
      <c r="C24" s="48" t="s">
        <v>1376</v>
      </c>
      <c r="D24" s="33" t="s">
        <v>1377</v>
      </c>
      <c r="E24" s="36">
        <f>SUM(180*8)</f>
        <v>1440</v>
      </c>
      <c r="F24" s="592">
        <v>19.760000000000002</v>
      </c>
      <c r="G24" s="592">
        <f t="shared" si="1"/>
        <v>25.219688000000001</v>
      </c>
      <c r="H24" s="225">
        <f t="shared" si="0"/>
        <v>36316.35</v>
      </c>
    </row>
    <row r="25" spans="1:13" s="12" customFormat="1" x14ac:dyDescent="0.2">
      <c r="A25" s="270" t="s">
        <v>620</v>
      </c>
      <c r="B25" s="52"/>
      <c r="C25" s="48" t="s">
        <v>1378</v>
      </c>
      <c r="D25" s="33" t="s">
        <v>1377</v>
      </c>
      <c r="E25" s="36">
        <f>SUM(180*4)</f>
        <v>720</v>
      </c>
      <c r="F25" s="592">
        <v>25.37</v>
      </c>
      <c r="G25" s="592">
        <f t="shared" si="1"/>
        <v>32.379731</v>
      </c>
      <c r="H25" s="225">
        <f t="shared" si="0"/>
        <v>23313.4</v>
      </c>
    </row>
    <row r="26" spans="1:13" s="12" customFormat="1" x14ac:dyDescent="0.2">
      <c r="A26" s="270" t="s">
        <v>621</v>
      </c>
      <c r="B26" s="52"/>
      <c r="C26" s="48" t="s">
        <v>1379</v>
      </c>
      <c r="D26" s="33" t="s">
        <v>1377</v>
      </c>
      <c r="E26" s="36">
        <f>SUM(180*4)</f>
        <v>720</v>
      </c>
      <c r="F26" s="592">
        <v>73.099999999999994</v>
      </c>
      <c r="G26" s="592">
        <f t="shared" si="1"/>
        <v>93.297529999999995</v>
      </c>
      <c r="H26" s="225">
        <f t="shared" si="0"/>
        <v>67174.22</v>
      </c>
    </row>
    <row r="27" spans="1:13" s="12" customFormat="1" x14ac:dyDescent="0.2">
      <c r="A27" s="226"/>
      <c r="B27" s="52"/>
      <c r="C27" s="64" t="s">
        <v>808</v>
      </c>
      <c r="D27" s="83"/>
      <c r="E27" s="46"/>
      <c r="F27" s="593"/>
      <c r="G27" s="592">
        <f t="shared" si="1"/>
        <v>0</v>
      </c>
      <c r="H27" s="227">
        <f>SUM(H17:H26)</f>
        <v>139244.75</v>
      </c>
      <c r="K27" s="449"/>
      <c r="L27" s="450"/>
      <c r="M27" s="450"/>
    </row>
    <row r="28" spans="1:13" s="19" customFormat="1" ht="12.75" customHeight="1" x14ac:dyDescent="0.2">
      <c r="A28" s="228" t="s">
        <v>217</v>
      </c>
      <c r="B28" s="53"/>
      <c r="C28" s="65" t="s">
        <v>526</v>
      </c>
      <c r="D28" s="30"/>
      <c r="E28" s="36"/>
      <c r="F28" s="592"/>
      <c r="G28" s="592">
        <f t="shared" si="1"/>
        <v>0</v>
      </c>
      <c r="H28" s="225"/>
    </row>
    <row r="29" spans="1:13" s="19" customFormat="1" x14ac:dyDescent="0.2">
      <c r="A29" s="224" t="s">
        <v>218</v>
      </c>
      <c r="B29" s="53"/>
      <c r="C29" s="65" t="s">
        <v>164</v>
      </c>
      <c r="D29" s="30"/>
      <c r="E29" s="36"/>
      <c r="F29" s="592"/>
      <c r="G29" s="592">
        <f t="shared" si="1"/>
        <v>0</v>
      </c>
      <c r="H29" s="225"/>
      <c r="L29" s="451"/>
      <c r="M29" s="451"/>
    </row>
    <row r="30" spans="1:13" s="19" customFormat="1" x14ac:dyDescent="0.2">
      <c r="A30" s="224" t="s">
        <v>219</v>
      </c>
      <c r="B30" s="51"/>
      <c r="C30" s="65" t="s">
        <v>263</v>
      </c>
      <c r="D30" s="32"/>
      <c r="E30" s="36"/>
      <c r="F30" s="592"/>
      <c r="G30" s="592">
        <f t="shared" si="1"/>
        <v>0</v>
      </c>
      <c r="H30" s="225"/>
    </row>
    <row r="31" spans="1:13" s="19" customFormat="1" ht="38.25" customHeight="1" x14ac:dyDescent="0.2">
      <c r="A31" s="241" t="s">
        <v>1368</v>
      </c>
      <c r="B31" s="52">
        <v>92718</v>
      </c>
      <c r="C31" s="48" t="s">
        <v>718</v>
      </c>
      <c r="D31" s="33" t="s">
        <v>509</v>
      </c>
      <c r="E31" s="36">
        <v>6.16</v>
      </c>
      <c r="F31" s="592">
        <v>471.01</v>
      </c>
      <c r="G31" s="592">
        <f t="shared" si="1"/>
        <v>601.15006299999993</v>
      </c>
      <c r="H31" s="225">
        <f>TRUNC((E31*G31),2)</f>
        <v>3703.08</v>
      </c>
    </row>
    <row r="32" spans="1:13" s="25" customFormat="1" ht="38.25" x14ac:dyDescent="0.2">
      <c r="A32" s="241" t="s">
        <v>220</v>
      </c>
      <c r="B32" s="52">
        <v>92759</v>
      </c>
      <c r="C32" s="48" t="s">
        <v>717</v>
      </c>
      <c r="D32" s="33" t="s">
        <v>161</v>
      </c>
      <c r="E32" s="36">
        <v>296</v>
      </c>
      <c r="F32" s="592">
        <v>9.77</v>
      </c>
      <c r="G32" s="592">
        <f t="shared" si="1"/>
        <v>12.469450999999999</v>
      </c>
      <c r="H32" s="225">
        <f>TRUNC((E32*G32),2)</f>
        <v>3690.95</v>
      </c>
    </row>
    <row r="33" spans="1:8" s="25" customFormat="1" ht="14.25" x14ac:dyDescent="0.2">
      <c r="A33" s="241" t="s">
        <v>1369</v>
      </c>
      <c r="B33" s="52">
        <v>93358</v>
      </c>
      <c r="C33" s="48" t="s">
        <v>719</v>
      </c>
      <c r="D33" s="33" t="s">
        <v>509</v>
      </c>
      <c r="E33" s="36">
        <v>88</v>
      </c>
      <c r="F33" s="592">
        <v>53.99</v>
      </c>
      <c r="G33" s="592">
        <f t="shared" si="1"/>
        <v>68.907437000000002</v>
      </c>
      <c r="H33" s="225">
        <f>TRUNC((E33*G33),2)</f>
        <v>6063.85</v>
      </c>
    </row>
    <row r="34" spans="1:8" s="25" customFormat="1" x14ac:dyDescent="0.2">
      <c r="A34" s="224"/>
      <c r="B34" s="52"/>
      <c r="C34" s="64" t="s">
        <v>809</v>
      </c>
      <c r="D34" s="33"/>
      <c r="E34" s="36"/>
      <c r="F34" s="592"/>
      <c r="G34" s="592">
        <f t="shared" si="1"/>
        <v>0</v>
      </c>
      <c r="H34" s="227">
        <f>SUM(H31:H33)</f>
        <v>13457.880000000001</v>
      </c>
    </row>
    <row r="35" spans="1:8" s="9" customFormat="1" ht="12.75" customHeight="1" x14ac:dyDescent="0.2">
      <c r="A35" s="229" t="s">
        <v>221</v>
      </c>
      <c r="B35" s="51"/>
      <c r="C35" s="66" t="s">
        <v>107</v>
      </c>
      <c r="D35" s="178"/>
      <c r="E35" s="36"/>
      <c r="F35" s="592"/>
      <c r="G35" s="592">
        <f t="shared" si="1"/>
        <v>0</v>
      </c>
      <c r="H35" s="225"/>
    </row>
    <row r="36" spans="1:8" s="18" customFormat="1" x14ac:dyDescent="0.2">
      <c r="A36" s="226" t="s">
        <v>222</v>
      </c>
      <c r="B36" s="51"/>
      <c r="C36" s="64" t="s">
        <v>109</v>
      </c>
      <c r="D36" s="32"/>
      <c r="E36" s="36"/>
      <c r="F36" s="592"/>
      <c r="G36" s="592">
        <f t="shared" si="1"/>
        <v>0</v>
      </c>
      <c r="H36" s="225"/>
    </row>
    <row r="37" spans="1:8" s="20" customFormat="1" x14ac:dyDescent="0.2">
      <c r="A37" s="226" t="s">
        <v>619</v>
      </c>
      <c r="B37" s="51"/>
      <c r="C37" s="66" t="s">
        <v>116</v>
      </c>
      <c r="D37" s="178"/>
      <c r="E37" s="36"/>
      <c r="F37" s="592"/>
      <c r="G37" s="592">
        <f t="shared" si="1"/>
        <v>0</v>
      </c>
      <c r="H37" s="225"/>
    </row>
    <row r="38" spans="1:8" s="20" customFormat="1" ht="38.25" customHeight="1" x14ac:dyDescent="0.2">
      <c r="A38" s="270" t="s">
        <v>1367</v>
      </c>
      <c r="B38" s="52">
        <v>92760</v>
      </c>
      <c r="C38" s="48" t="s">
        <v>720</v>
      </c>
      <c r="D38" s="34" t="s">
        <v>161</v>
      </c>
      <c r="E38" s="36">
        <v>1200</v>
      </c>
      <c r="F38" s="592">
        <v>8.99</v>
      </c>
      <c r="G38" s="592">
        <f t="shared" si="1"/>
        <v>11.473936999999999</v>
      </c>
      <c r="H38" s="225">
        <f>TRUNC((E38*G38),2)</f>
        <v>13768.72</v>
      </c>
    </row>
    <row r="39" spans="1:8" s="20" customFormat="1" x14ac:dyDescent="0.2">
      <c r="A39" s="226"/>
      <c r="B39" s="52"/>
      <c r="C39" s="64" t="s">
        <v>810</v>
      </c>
      <c r="D39" s="34"/>
      <c r="E39" s="36"/>
      <c r="F39" s="592"/>
      <c r="G39" s="592">
        <f t="shared" si="1"/>
        <v>0</v>
      </c>
      <c r="H39" s="227">
        <f>SUM(H38)</f>
        <v>13768.72</v>
      </c>
    </row>
    <row r="40" spans="1:8" s="21" customFormat="1" x14ac:dyDescent="0.2">
      <c r="A40" s="228" t="s">
        <v>628</v>
      </c>
      <c r="B40" s="55"/>
      <c r="C40" s="66" t="s">
        <v>479</v>
      </c>
      <c r="D40" s="31"/>
      <c r="E40" s="36"/>
      <c r="F40" s="592"/>
      <c r="G40" s="592">
        <f t="shared" si="1"/>
        <v>0</v>
      </c>
      <c r="H40" s="225"/>
    </row>
    <row r="41" spans="1:8" s="21" customFormat="1" x14ac:dyDescent="0.2">
      <c r="A41" s="224" t="s">
        <v>629</v>
      </c>
      <c r="B41" s="55"/>
      <c r="C41" s="67" t="s">
        <v>478</v>
      </c>
      <c r="D41" s="31"/>
      <c r="E41" s="36"/>
      <c r="F41" s="592"/>
      <c r="G41" s="592">
        <f t="shared" si="1"/>
        <v>0</v>
      </c>
      <c r="H41" s="225"/>
    </row>
    <row r="42" spans="1:8" s="21" customFormat="1" ht="13.5" customHeight="1" thickBot="1" x14ac:dyDescent="0.25">
      <c r="A42" s="230" t="s">
        <v>630</v>
      </c>
      <c r="B42" s="231"/>
      <c r="C42" s="232" t="s">
        <v>40</v>
      </c>
      <c r="D42" s="233"/>
      <c r="E42" s="234"/>
      <c r="F42" s="594"/>
      <c r="G42" s="592">
        <f t="shared" si="1"/>
        <v>0</v>
      </c>
      <c r="H42" s="235"/>
    </row>
    <row r="43" spans="1:8" s="21" customFormat="1" x14ac:dyDescent="0.2">
      <c r="A43" s="224" t="s">
        <v>1364</v>
      </c>
      <c r="B43" s="236">
        <v>85334</v>
      </c>
      <c r="C43" s="237" t="s">
        <v>721</v>
      </c>
      <c r="D43" s="238" t="s">
        <v>111</v>
      </c>
      <c r="E43" s="239">
        <v>8.4</v>
      </c>
      <c r="F43" s="595">
        <v>13.64</v>
      </c>
      <c r="G43" s="592">
        <f t="shared" si="1"/>
        <v>17.408732000000001</v>
      </c>
      <c r="H43" s="240">
        <f>TRUNC((E43*G43),2)</f>
        <v>146.22999999999999</v>
      </c>
    </row>
    <row r="44" spans="1:8" s="21" customFormat="1" ht="51" x14ac:dyDescent="0.2">
      <c r="A44" s="224" t="s">
        <v>1365</v>
      </c>
      <c r="B44" s="52">
        <v>90843</v>
      </c>
      <c r="C44" s="48" t="s">
        <v>722</v>
      </c>
      <c r="D44" s="34" t="s">
        <v>172</v>
      </c>
      <c r="E44" s="36">
        <v>14</v>
      </c>
      <c r="F44" s="592">
        <v>500.81</v>
      </c>
      <c r="G44" s="592">
        <f t="shared" si="1"/>
        <v>639.18380300000001</v>
      </c>
      <c r="H44" s="225">
        <f>TRUNC((E44*G44),2)</f>
        <v>8948.57</v>
      </c>
    </row>
    <row r="45" spans="1:8" s="21" customFormat="1" ht="51" customHeight="1" x14ac:dyDescent="0.2">
      <c r="A45" s="224" t="s">
        <v>1366</v>
      </c>
      <c r="B45" s="52">
        <v>90841</v>
      </c>
      <c r="C45" s="48" t="s">
        <v>723</v>
      </c>
      <c r="D45" s="34"/>
      <c r="E45" s="36">
        <v>4</v>
      </c>
      <c r="F45" s="592">
        <v>445.86</v>
      </c>
      <c r="G45" s="592">
        <f t="shared" si="1"/>
        <v>569.05111799999997</v>
      </c>
      <c r="H45" s="225">
        <f>TRUNC((E45*G45),2)</f>
        <v>2276.1999999999998</v>
      </c>
    </row>
    <row r="46" spans="1:8" s="21" customFormat="1" x14ac:dyDescent="0.2">
      <c r="A46" s="224"/>
      <c r="B46" s="52"/>
      <c r="C46" s="64" t="s">
        <v>811</v>
      </c>
      <c r="D46" s="34"/>
      <c r="E46" s="36"/>
      <c r="F46" s="592"/>
      <c r="G46" s="592">
        <f t="shared" si="1"/>
        <v>0</v>
      </c>
      <c r="H46" s="227">
        <f>SUM(H43:H45)</f>
        <v>11371</v>
      </c>
    </row>
    <row r="47" spans="1:8" s="27" customFormat="1" x14ac:dyDescent="0.2">
      <c r="A47" s="228" t="s">
        <v>223</v>
      </c>
      <c r="B47" s="55"/>
      <c r="C47" s="67" t="s">
        <v>631</v>
      </c>
      <c r="D47" s="31"/>
      <c r="E47" s="36"/>
      <c r="F47" s="592"/>
      <c r="G47" s="592">
        <f t="shared" si="1"/>
        <v>0</v>
      </c>
      <c r="H47" s="225"/>
    </row>
    <row r="48" spans="1:8" s="28" customFormat="1" x14ac:dyDescent="0.2">
      <c r="A48" s="224" t="s">
        <v>643</v>
      </c>
      <c r="B48" s="53"/>
      <c r="C48" s="65" t="s">
        <v>164</v>
      </c>
      <c r="D48" s="30"/>
      <c r="E48" s="36"/>
      <c r="F48" s="592"/>
      <c r="G48" s="592">
        <f t="shared" si="1"/>
        <v>0</v>
      </c>
      <c r="H48" s="225"/>
    </row>
    <row r="49" spans="1:11" s="27" customFormat="1" ht="14.25" x14ac:dyDescent="0.2">
      <c r="A49" s="224" t="s">
        <v>644</v>
      </c>
      <c r="B49" s="52">
        <v>93358</v>
      </c>
      <c r="C49" s="48" t="s">
        <v>719</v>
      </c>
      <c r="D49" s="33" t="s">
        <v>509</v>
      </c>
      <c r="E49" s="36">
        <v>54.6</v>
      </c>
      <c r="F49" s="592">
        <v>53.99</v>
      </c>
      <c r="G49" s="592">
        <f t="shared" si="1"/>
        <v>68.907437000000002</v>
      </c>
      <c r="H49" s="225">
        <f t="shared" ref="H49:H58" si="2">TRUNC((E49*G49),2)</f>
        <v>3762.34</v>
      </c>
    </row>
    <row r="50" spans="1:11" s="27" customFormat="1" ht="38.25" x14ac:dyDescent="0.2">
      <c r="A50" s="224" t="s">
        <v>645</v>
      </c>
      <c r="B50" s="52">
        <v>92718</v>
      </c>
      <c r="C50" s="48" t="s">
        <v>718</v>
      </c>
      <c r="D50" s="33" t="s">
        <v>509</v>
      </c>
      <c r="E50" s="36">
        <v>15.48</v>
      </c>
      <c r="F50" s="592">
        <v>471.01</v>
      </c>
      <c r="G50" s="592">
        <f t="shared" si="1"/>
        <v>601.15006299999993</v>
      </c>
      <c r="H50" s="225">
        <f t="shared" si="2"/>
        <v>9305.7999999999993</v>
      </c>
    </row>
    <row r="51" spans="1:11" s="27" customFormat="1" ht="38.25" x14ac:dyDescent="0.2">
      <c r="A51" s="224" t="s">
        <v>646</v>
      </c>
      <c r="B51" s="52">
        <v>92760</v>
      </c>
      <c r="C51" s="48" t="s">
        <v>720</v>
      </c>
      <c r="D51" s="31" t="s">
        <v>161</v>
      </c>
      <c r="E51" s="36">
        <v>711</v>
      </c>
      <c r="F51" s="592">
        <v>8.99</v>
      </c>
      <c r="G51" s="592">
        <f t="shared" si="1"/>
        <v>11.473936999999999</v>
      </c>
      <c r="H51" s="225">
        <f t="shared" si="2"/>
        <v>8157.96</v>
      </c>
      <c r="K51" s="21"/>
    </row>
    <row r="52" spans="1:11" s="27" customFormat="1" x14ac:dyDescent="0.2">
      <c r="A52" s="224" t="s">
        <v>647</v>
      </c>
      <c r="B52" s="56" t="s">
        <v>673</v>
      </c>
      <c r="C52" s="68" t="s">
        <v>724</v>
      </c>
      <c r="D52" s="33" t="s">
        <v>111</v>
      </c>
      <c r="E52" s="36">
        <v>144</v>
      </c>
      <c r="F52" s="592">
        <v>44.48</v>
      </c>
      <c r="G52" s="592">
        <f t="shared" si="1"/>
        <v>56.769823999999993</v>
      </c>
      <c r="H52" s="225">
        <f t="shared" si="2"/>
        <v>8174.85</v>
      </c>
    </row>
    <row r="53" spans="1:11" s="28" customFormat="1" x14ac:dyDescent="0.2">
      <c r="A53" s="224" t="s">
        <v>648</v>
      </c>
      <c r="B53" s="53"/>
      <c r="C53" s="65" t="s">
        <v>633</v>
      </c>
      <c r="D53" s="30"/>
      <c r="E53" s="36"/>
      <c r="F53" s="592"/>
      <c r="G53" s="592">
        <f t="shared" si="1"/>
        <v>0</v>
      </c>
      <c r="H53" s="225">
        <f t="shared" si="2"/>
        <v>0</v>
      </c>
    </row>
    <row r="54" spans="1:11" s="29" customFormat="1" ht="38.25" x14ac:dyDescent="0.2">
      <c r="A54" s="224" t="s">
        <v>649</v>
      </c>
      <c r="B54" s="52">
        <v>92718</v>
      </c>
      <c r="C54" s="48" t="s">
        <v>718</v>
      </c>
      <c r="D54" s="31" t="s">
        <v>509</v>
      </c>
      <c r="E54" s="36" t="s">
        <v>656</v>
      </c>
      <c r="F54" s="592">
        <v>471.01</v>
      </c>
      <c r="G54" s="592">
        <f t="shared" si="1"/>
        <v>601.15006299999993</v>
      </c>
      <c r="H54" s="225">
        <f t="shared" si="2"/>
        <v>2669.1</v>
      </c>
    </row>
    <row r="55" spans="1:11" s="29" customFormat="1" x14ac:dyDescent="0.2">
      <c r="A55" s="224" t="s">
        <v>650</v>
      </c>
      <c r="B55" s="56" t="s">
        <v>673</v>
      </c>
      <c r="C55" s="68" t="s">
        <v>724</v>
      </c>
      <c r="D55" s="33" t="s">
        <v>111</v>
      </c>
      <c r="E55" s="36" t="s">
        <v>634</v>
      </c>
      <c r="F55" s="592">
        <v>44.48</v>
      </c>
      <c r="G55" s="592">
        <f t="shared" si="1"/>
        <v>56.769823999999993</v>
      </c>
      <c r="H55" s="225">
        <f t="shared" si="2"/>
        <v>5926.76</v>
      </c>
    </row>
    <row r="56" spans="1:11" s="29" customFormat="1" ht="38.25" x14ac:dyDescent="0.2">
      <c r="A56" s="224" t="s">
        <v>651</v>
      </c>
      <c r="B56" s="52">
        <v>92760</v>
      </c>
      <c r="C56" s="48" t="s">
        <v>720</v>
      </c>
      <c r="D56" s="31" t="s">
        <v>161</v>
      </c>
      <c r="E56" s="36" t="s">
        <v>635</v>
      </c>
      <c r="F56" s="592">
        <v>8.99</v>
      </c>
      <c r="G56" s="592">
        <f t="shared" si="1"/>
        <v>11.473936999999999</v>
      </c>
      <c r="H56" s="225">
        <f t="shared" si="2"/>
        <v>2175.4499999999998</v>
      </c>
    </row>
    <row r="57" spans="1:11" s="28" customFormat="1" x14ac:dyDescent="0.2">
      <c r="A57" s="224" t="s">
        <v>652</v>
      </c>
      <c r="B57" s="53"/>
      <c r="C57" s="65" t="s">
        <v>632</v>
      </c>
      <c r="D57" s="30"/>
      <c r="E57" s="36"/>
      <c r="F57" s="592"/>
      <c r="G57" s="592">
        <f t="shared" si="1"/>
        <v>0</v>
      </c>
      <c r="H57" s="225">
        <f t="shared" si="2"/>
        <v>0</v>
      </c>
    </row>
    <row r="58" spans="1:11" s="29" customFormat="1" ht="51" x14ac:dyDescent="0.2">
      <c r="A58" s="224" t="s">
        <v>653</v>
      </c>
      <c r="B58" s="57" t="s">
        <v>674</v>
      </c>
      <c r="C58" s="69" t="s">
        <v>725</v>
      </c>
      <c r="D58" s="33" t="s">
        <v>111</v>
      </c>
      <c r="E58" s="36" t="s">
        <v>654</v>
      </c>
      <c r="F58" s="592">
        <v>54.87</v>
      </c>
      <c r="G58" s="592">
        <f t="shared" si="1"/>
        <v>70.030580999999998</v>
      </c>
      <c r="H58" s="225">
        <f t="shared" si="2"/>
        <v>27830.15</v>
      </c>
    </row>
    <row r="59" spans="1:11" s="29" customFormat="1" x14ac:dyDescent="0.2">
      <c r="A59" s="224"/>
      <c r="B59" s="57"/>
      <c r="C59" s="64" t="s">
        <v>812</v>
      </c>
      <c r="D59" s="33"/>
      <c r="E59" s="36"/>
      <c r="F59" s="592"/>
      <c r="G59" s="592">
        <f t="shared" si="1"/>
        <v>0</v>
      </c>
      <c r="H59" s="227">
        <f>SUM(H49:H58)</f>
        <v>68002.41</v>
      </c>
    </row>
    <row r="60" spans="1:11" s="21" customFormat="1" ht="25.5" x14ac:dyDescent="0.2">
      <c r="A60" s="228" t="s">
        <v>636</v>
      </c>
      <c r="B60" s="55"/>
      <c r="C60" s="67" t="s">
        <v>637</v>
      </c>
      <c r="D60" s="31"/>
      <c r="E60" s="36"/>
      <c r="F60" s="592"/>
      <c r="G60" s="592">
        <f t="shared" si="1"/>
        <v>0</v>
      </c>
      <c r="H60" s="225"/>
    </row>
    <row r="61" spans="1:11" s="10" customFormat="1" ht="38.25" x14ac:dyDescent="0.2">
      <c r="A61" s="224" t="s">
        <v>638</v>
      </c>
      <c r="B61" s="57" t="s">
        <v>726</v>
      </c>
      <c r="C61" s="69" t="s">
        <v>727</v>
      </c>
      <c r="D61" s="33" t="s">
        <v>111</v>
      </c>
      <c r="E61" s="36" t="s">
        <v>655</v>
      </c>
      <c r="F61" s="592">
        <v>2.92</v>
      </c>
      <c r="G61" s="592">
        <f t="shared" si="1"/>
        <v>3.7267959999999998</v>
      </c>
      <c r="H61" s="225">
        <f>TRUNC((E61*G61),2)</f>
        <v>2962.05</v>
      </c>
    </row>
    <row r="62" spans="1:11" s="10" customFormat="1" ht="51" x14ac:dyDescent="0.2">
      <c r="A62" s="224" t="s">
        <v>639</v>
      </c>
      <c r="B62" s="58" t="s">
        <v>728</v>
      </c>
      <c r="C62" s="69" t="s">
        <v>729</v>
      </c>
      <c r="D62" s="33" t="s">
        <v>111</v>
      </c>
      <c r="E62" s="36" t="s">
        <v>655</v>
      </c>
      <c r="F62" s="592">
        <v>22.75</v>
      </c>
      <c r="G62" s="592">
        <f t="shared" si="1"/>
        <v>29.035824999999999</v>
      </c>
      <c r="H62" s="225">
        <f>TRUNC((E62*G62),2)</f>
        <v>23077.67</v>
      </c>
    </row>
    <row r="63" spans="1:11" s="10" customFormat="1" x14ac:dyDescent="0.2">
      <c r="A63" s="224"/>
      <c r="B63" s="58"/>
      <c r="C63" s="64" t="s">
        <v>813</v>
      </c>
      <c r="D63" s="33"/>
      <c r="E63" s="36"/>
      <c r="F63" s="592"/>
      <c r="G63" s="592">
        <f t="shared" si="1"/>
        <v>0</v>
      </c>
      <c r="H63" s="227">
        <f>SUM(H61:H62)</f>
        <v>26039.719999999998</v>
      </c>
    </row>
    <row r="64" spans="1:11" s="21" customFormat="1" x14ac:dyDescent="0.2">
      <c r="A64" s="228" t="s">
        <v>640</v>
      </c>
      <c r="B64" s="55"/>
      <c r="C64" s="67" t="s">
        <v>64</v>
      </c>
      <c r="D64" s="31"/>
      <c r="E64" s="36"/>
      <c r="F64" s="592"/>
      <c r="G64" s="592">
        <f t="shared" si="1"/>
        <v>0</v>
      </c>
      <c r="H64" s="225"/>
    </row>
    <row r="65" spans="1:8" s="10" customFormat="1" ht="25.5" x14ac:dyDescent="0.2">
      <c r="A65" s="224" t="s">
        <v>641</v>
      </c>
      <c r="B65" s="58" t="s">
        <v>675</v>
      </c>
      <c r="C65" s="69" t="s">
        <v>730</v>
      </c>
      <c r="D65" s="33" t="s">
        <v>111</v>
      </c>
      <c r="E65" s="36" t="s">
        <v>655</v>
      </c>
      <c r="F65" s="592">
        <v>9.3800000000000008</v>
      </c>
      <c r="G65" s="592">
        <f t="shared" si="1"/>
        <v>11.971694000000001</v>
      </c>
      <c r="H65" s="225">
        <f t="shared" ref="H65:H126" si="3">TRUNC((E65*G65),2)</f>
        <v>9515.1</v>
      </c>
    </row>
    <row r="66" spans="1:8" s="10" customFormat="1" x14ac:dyDescent="0.2">
      <c r="A66" s="224"/>
      <c r="B66" s="58"/>
      <c r="C66" s="64" t="s">
        <v>814</v>
      </c>
      <c r="D66" s="33"/>
      <c r="E66" s="36"/>
      <c r="F66" s="592"/>
      <c r="G66" s="592">
        <f t="shared" si="1"/>
        <v>0</v>
      </c>
      <c r="H66" s="227">
        <f>SUM(H65)</f>
        <v>9515.1</v>
      </c>
    </row>
    <row r="67" spans="1:8" s="10" customFormat="1" x14ac:dyDescent="0.2">
      <c r="A67" s="241" t="s">
        <v>676</v>
      </c>
      <c r="B67" s="59"/>
      <c r="C67" s="67" t="s">
        <v>44</v>
      </c>
      <c r="D67" s="33"/>
      <c r="E67" s="36"/>
      <c r="F67" s="592"/>
      <c r="G67" s="592">
        <f t="shared" si="1"/>
        <v>0</v>
      </c>
      <c r="H67" s="225">
        <f t="shared" si="3"/>
        <v>0</v>
      </c>
    </row>
    <row r="68" spans="1:8" s="10" customFormat="1" ht="38.25" x14ac:dyDescent="0.2">
      <c r="A68" s="241" t="s">
        <v>677</v>
      </c>
      <c r="B68" s="58" t="s">
        <v>731</v>
      </c>
      <c r="C68" s="69" t="s">
        <v>732</v>
      </c>
      <c r="D68" s="33" t="s">
        <v>160</v>
      </c>
      <c r="E68" s="36">
        <v>4.2</v>
      </c>
      <c r="F68" s="592">
        <v>27.2</v>
      </c>
      <c r="G68" s="592">
        <f t="shared" si="1"/>
        <v>34.715359999999997</v>
      </c>
      <c r="H68" s="225">
        <f t="shared" si="3"/>
        <v>145.80000000000001</v>
      </c>
    </row>
    <row r="69" spans="1:8" s="10" customFormat="1" ht="25.5" x14ac:dyDescent="0.2">
      <c r="A69" s="241" t="s">
        <v>764</v>
      </c>
      <c r="B69" s="58" t="s">
        <v>735</v>
      </c>
      <c r="C69" s="69" t="s">
        <v>736</v>
      </c>
      <c r="D69" s="49" t="s">
        <v>160</v>
      </c>
      <c r="E69" s="36">
        <v>16.05</v>
      </c>
      <c r="F69" s="592">
        <v>12.94</v>
      </c>
      <c r="G69" s="592">
        <f t="shared" si="1"/>
        <v>16.515321999999998</v>
      </c>
      <c r="H69" s="225">
        <f t="shared" si="3"/>
        <v>265.07</v>
      </c>
    </row>
    <row r="70" spans="1:8" s="10" customFormat="1" ht="15" thickBot="1" x14ac:dyDescent="0.25">
      <c r="A70" s="241" t="s">
        <v>1357</v>
      </c>
      <c r="B70" s="243" t="s">
        <v>1347</v>
      </c>
      <c r="C70" s="244" t="s">
        <v>1348</v>
      </c>
      <c r="D70" s="245" t="s">
        <v>509</v>
      </c>
      <c r="E70" s="234">
        <v>1.69</v>
      </c>
      <c r="F70" s="594">
        <v>34.119999999999997</v>
      </c>
      <c r="G70" s="592">
        <f t="shared" si="1"/>
        <v>43.547355999999994</v>
      </c>
      <c r="H70" s="235">
        <f t="shared" si="3"/>
        <v>73.59</v>
      </c>
    </row>
    <row r="71" spans="1:8" s="10" customFormat="1" ht="51" x14ac:dyDescent="0.2">
      <c r="A71" s="241" t="s">
        <v>1358</v>
      </c>
      <c r="B71" s="247" t="s">
        <v>1349</v>
      </c>
      <c r="C71" s="248" t="s">
        <v>1350</v>
      </c>
      <c r="D71" s="249" t="s">
        <v>111</v>
      </c>
      <c r="E71" s="239">
        <v>1.02</v>
      </c>
      <c r="F71" s="595">
        <v>90.13</v>
      </c>
      <c r="G71" s="592">
        <f t="shared" si="1"/>
        <v>115.03291899999999</v>
      </c>
      <c r="H71" s="240">
        <f t="shared" si="3"/>
        <v>117.33</v>
      </c>
    </row>
    <row r="72" spans="1:8" s="10" customFormat="1" ht="38.25" x14ac:dyDescent="0.2">
      <c r="A72" s="241" t="s">
        <v>1359</v>
      </c>
      <c r="B72" s="57" t="s">
        <v>726</v>
      </c>
      <c r="C72" s="69" t="s">
        <v>727</v>
      </c>
      <c r="D72" s="33" t="s">
        <v>111</v>
      </c>
      <c r="E72" s="36">
        <v>2.04</v>
      </c>
      <c r="F72" s="592">
        <v>2.92</v>
      </c>
      <c r="G72" s="592">
        <f t="shared" si="1"/>
        <v>3.7267959999999998</v>
      </c>
      <c r="H72" s="225">
        <f t="shared" si="3"/>
        <v>7.6</v>
      </c>
    </row>
    <row r="73" spans="1:8" s="10" customFormat="1" ht="51" x14ac:dyDescent="0.2">
      <c r="A73" s="241" t="s">
        <v>1360</v>
      </c>
      <c r="B73" s="58" t="s">
        <v>728</v>
      </c>
      <c r="C73" s="69" t="s">
        <v>729</v>
      </c>
      <c r="D73" s="33" t="s">
        <v>111</v>
      </c>
      <c r="E73" s="36">
        <v>2.04</v>
      </c>
      <c r="F73" s="592">
        <v>22.75</v>
      </c>
      <c r="G73" s="592">
        <f t="shared" si="1"/>
        <v>29.035824999999999</v>
      </c>
      <c r="H73" s="225">
        <f t="shared" si="3"/>
        <v>59.23</v>
      </c>
    </row>
    <row r="74" spans="1:8" s="10" customFormat="1" ht="38.25" x14ac:dyDescent="0.2">
      <c r="A74" s="241" t="s">
        <v>1361</v>
      </c>
      <c r="B74" s="58" t="s">
        <v>1351</v>
      </c>
      <c r="C74" s="69" t="s">
        <v>1352</v>
      </c>
      <c r="D74" s="49" t="s">
        <v>160</v>
      </c>
      <c r="E74" s="36">
        <v>56.7</v>
      </c>
      <c r="F74" s="592">
        <v>16.829999999999998</v>
      </c>
      <c r="G74" s="592">
        <f t="shared" si="1"/>
        <v>21.480128999999998</v>
      </c>
      <c r="H74" s="225">
        <f t="shared" si="3"/>
        <v>1217.92</v>
      </c>
    </row>
    <row r="75" spans="1:8" s="10" customFormat="1" ht="38.25" x14ac:dyDescent="0.2">
      <c r="A75" s="241" t="s">
        <v>1362</v>
      </c>
      <c r="B75" s="58" t="s">
        <v>1353</v>
      </c>
      <c r="C75" s="69" t="s">
        <v>1354</v>
      </c>
      <c r="D75" s="34" t="s">
        <v>172</v>
      </c>
      <c r="E75" s="36">
        <v>56</v>
      </c>
      <c r="F75" s="592">
        <v>16.399999999999999</v>
      </c>
      <c r="G75" s="592">
        <f t="shared" si="1"/>
        <v>20.931319999999999</v>
      </c>
      <c r="H75" s="225">
        <f t="shared" si="3"/>
        <v>1172.1500000000001</v>
      </c>
    </row>
    <row r="76" spans="1:8" s="10" customFormat="1" ht="38.25" x14ac:dyDescent="0.2">
      <c r="A76" s="241" t="s">
        <v>1363</v>
      </c>
      <c r="B76" s="58" t="s">
        <v>754</v>
      </c>
      <c r="C76" s="69" t="s">
        <v>1355</v>
      </c>
      <c r="D76" s="49" t="s">
        <v>160</v>
      </c>
      <c r="E76" s="36">
        <v>56.7</v>
      </c>
      <c r="F76" s="592">
        <v>7.61</v>
      </c>
      <c r="G76" s="592">
        <f t="shared" si="1"/>
        <v>9.7126429999999999</v>
      </c>
      <c r="H76" s="225">
        <f t="shared" si="3"/>
        <v>550.70000000000005</v>
      </c>
    </row>
    <row r="77" spans="1:8" s="10" customFormat="1" x14ac:dyDescent="0.2">
      <c r="A77" s="241"/>
      <c r="B77" s="58"/>
      <c r="C77" s="64" t="s">
        <v>815</v>
      </c>
      <c r="D77" s="49"/>
      <c r="E77" s="36"/>
      <c r="F77" s="592"/>
      <c r="G77" s="592">
        <f t="shared" si="1"/>
        <v>0</v>
      </c>
      <c r="H77" s="227">
        <f>SUM(H67:H76)</f>
        <v>3609.3900000000003</v>
      </c>
    </row>
    <row r="78" spans="1:8" s="10" customFormat="1" x14ac:dyDescent="0.2">
      <c r="A78" s="241" t="s">
        <v>765</v>
      </c>
      <c r="B78" s="59"/>
      <c r="C78" s="70" t="s">
        <v>47</v>
      </c>
      <c r="D78" s="86"/>
      <c r="E78" s="36"/>
      <c r="F78" s="592"/>
      <c r="G78" s="592">
        <f t="shared" si="1"/>
        <v>0</v>
      </c>
      <c r="H78" s="225">
        <f t="shared" si="3"/>
        <v>0</v>
      </c>
    </row>
    <row r="79" spans="1:8" s="10" customFormat="1" ht="25.5" x14ac:dyDescent="0.2">
      <c r="A79" s="241" t="s">
        <v>766</v>
      </c>
      <c r="B79" s="58" t="s">
        <v>768</v>
      </c>
      <c r="C79" s="69" t="s">
        <v>769</v>
      </c>
      <c r="D79" s="50" t="s">
        <v>111</v>
      </c>
      <c r="E79" s="36">
        <v>334.39</v>
      </c>
      <c r="F79" s="592">
        <v>27.71</v>
      </c>
      <c r="G79" s="592">
        <f t="shared" si="1"/>
        <v>35.366273</v>
      </c>
      <c r="H79" s="225">
        <f t="shared" si="3"/>
        <v>11826.12</v>
      </c>
    </row>
    <row r="80" spans="1:8" s="10" customFormat="1" ht="25.5" x14ac:dyDescent="0.2">
      <c r="A80" s="241" t="s">
        <v>767</v>
      </c>
      <c r="B80" s="58" t="s">
        <v>734</v>
      </c>
      <c r="C80" s="69" t="s">
        <v>733</v>
      </c>
      <c r="D80" s="50" t="s">
        <v>111</v>
      </c>
      <c r="E80" s="36">
        <v>221.45</v>
      </c>
      <c r="F80" s="592">
        <v>65.75</v>
      </c>
      <c r="G80" s="592">
        <f t="shared" si="1"/>
        <v>83.916725</v>
      </c>
      <c r="H80" s="225">
        <f t="shared" si="3"/>
        <v>18583.349999999999</v>
      </c>
    </row>
    <row r="81" spans="1:8" s="10" customFormat="1" x14ac:dyDescent="0.2">
      <c r="A81" s="241"/>
      <c r="B81" s="58"/>
      <c r="C81" s="64" t="s">
        <v>816</v>
      </c>
      <c r="D81" s="50"/>
      <c r="E81" s="36"/>
      <c r="F81" s="592"/>
      <c r="G81" s="592">
        <f t="shared" si="1"/>
        <v>0</v>
      </c>
      <c r="H81" s="227">
        <f>SUM(H78:H80)</f>
        <v>30409.47</v>
      </c>
    </row>
    <row r="82" spans="1:8" s="10" customFormat="1" x14ac:dyDescent="0.2">
      <c r="A82" s="241" t="s">
        <v>678</v>
      </c>
      <c r="B82" s="59"/>
      <c r="C82" s="67" t="s">
        <v>64</v>
      </c>
      <c r="D82" s="33"/>
      <c r="E82" s="36"/>
      <c r="F82" s="592"/>
      <c r="G82" s="592">
        <f t="shared" si="1"/>
        <v>0</v>
      </c>
      <c r="H82" s="225">
        <f t="shared" si="3"/>
        <v>0</v>
      </c>
    </row>
    <row r="83" spans="1:8" s="10" customFormat="1" ht="25.5" x14ac:dyDescent="0.2">
      <c r="A83" s="241" t="s">
        <v>679</v>
      </c>
      <c r="B83" s="58" t="s">
        <v>737</v>
      </c>
      <c r="C83" s="71" t="s">
        <v>738</v>
      </c>
      <c r="D83" s="33" t="s">
        <v>111</v>
      </c>
      <c r="E83" s="36">
        <v>474</v>
      </c>
      <c r="F83" s="592">
        <v>7.58</v>
      </c>
      <c r="G83" s="592">
        <f t="shared" si="1"/>
        <v>9.6743539999999992</v>
      </c>
      <c r="H83" s="225">
        <f t="shared" si="3"/>
        <v>4585.6400000000003</v>
      </c>
    </row>
    <row r="84" spans="1:8" s="10" customFormat="1" ht="25.5" x14ac:dyDescent="0.2">
      <c r="A84" s="241" t="s">
        <v>680</v>
      </c>
      <c r="B84" s="60"/>
      <c r="C84" s="69" t="s">
        <v>730</v>
      </c>
      <c r="D84" s="33" t="s">
        <v>111</v>
      </c>
      <c r="E84" s="36">
        <v>474</v>
      </c>
      <c r="F84" s="592">
        <v>9.3800000000000008</v>
      </c>
      <c r="G84" s="592">
        <f t="shared" si="1"/>
        <v>11.971694000000001</v>
      </c>
      <c r="H84" s="225">
        <f t="shared" si="3"/>
        <v>5674.58</v>
      </c>
    </row>
    <row r="85" spans="1:8" s="10" customFormat="1" ht="25.5" x14ac:dyDescent="0.2">
      <c r="A85" s="241" t="s">
        <v>787</v>
      </c>
      <c r="B85" s="58" t="s">
        <v>737</v>
      </c>
      <c r="C85" s="71" t="s">
        <v>739</v>
      </c>
      <c r="D85" s="33" t="s">
        <v>111</v>
      </c>
      <c r="E85" s="36">
        <v>495.7</v>
      </c>
      <c r="F85" s="592">
        <v>13.47</v>
      </c>
      <c r="G85" s="592">
        <f t="shared" si="1"/>
        <v>17.191761</v>
      </c>
      <c r="H85" s="225">
        <f t="shared" si="3"/>
        <v>8521.9500000000007</v>
      </c>
    </row>
    <row r="86" spans="1:8" s="10" customFormat="1" ht="25.5" x14ac:dyDescent="0.2">
      <c r="A86" s="241" t="s">
        <v>788</v>
      </c>
      <c r="B86" s="58" t="s">
        <v>740</v>
      </c>
      <c r="C86" s="69" t="s">
        <v>741</v>
      </c>
      <c r="D86" s="33" t="s">
        <v>111</v>
      </c>
      <c r="E86" s="36">
        <v>495.7</v>
      </c>
      <c r="F86" s="592">
        <v>10.61</v>
      </c>
      <c r="G86" s="592">
        <f t="shared" ref="G86:G126" si="4">SUM(F86*1.2763)</f>
        <v>13.541542999999999</v>
      </c>
      <c r="H86" s="225">
        <f t="shared" si="3"/>
        <v>6712.54</v>
      </c>
    </row>
    <row r="87" spans="1:8" s="10" customFormat="1" x14ac:dyDescent="0.2">
      <c r="A87" s="241"/>
      <c r="B87" s="58"/>
      <c r="C87" s="64" t="s">
        <v>817</v>
      </c>
      <c r="D87" s="33"/>
      <c r="E87" s="36"/>
      <c r="F87" s="592"/>
      <c r="G87" s="592">
        <f t="shared" si="4"/>
        <v>0</v>
      </c>
      <c r="H87" s="227">
        <f>SUM(H82:H86)</f>
        <v>25494.710000000003</v>
      </c>
    </row>
    <row r="88" spans="1:8" s="10" customFormat="1" x14ac:dyDescent="0.2">
      <c r="A88" s="241" t="s">
        <v>683</v>
      </c>
      <c r="B88" s="59"/>
      <c r="C88" s="67" t="s">
        <v>447</v>
      </c>
      <c r="D88" s="33"/>
      <c r="E88" s="36"/>
      <c r="F88" s="592"/>
      <c r="G88" s="592">
        <f t="shared" si="4"/>
        <v>0</v>
      </c>
      <c r="H88" s="225">
        <f t="shared" si="3"/>
        <v>0</v>
      </c>
    </row>
    <row r="89" spans="1:8" s="10" customFormat="1" ht="25.5" x14ac:dyDescent="0.2">
      <c r="A89" s="241" t="s">
        <v>789</v>
      </c>
      <c r="B89" s="58" t="s">
        <v>742</v>
      </c>
      <c r="C89" s="69" t="s">
        <v>743</v>
      </c>
      <c r="D89" s="33" t="s">
        <v>160</v>
      </c>
      <c r="E89" s="36">
        <v>100</v>
      </c>
      <c r="F89" s="592">
        <v>3</v>
      </c>
      <c r="G89" s="592">
        <f t="shared" si="4"/>
        <v>3.8289</v>
      </c>
      <c r="H89" s="225">
        <f t="shared" si="3"/>
        <v>382.89</v>
      </c>
    </row>
    <row r="90" spans="1:8" s="10" customFormat="1" ht="15" x14ac:dyDescent="0.2">
      <c r="A90" s="241" t="s">
        <v>684</v>
      </c>
      <c r="B90" s="61"/>
      <c r="C90" s="72" t="s">
        <v>461</v>
      </c>
      <c r="D90" s="33"/>
      <c r="E90" s="36"/>
      <c r="F90" s="592"/>
      <c r="G90" s="592">
        <f t="shared" si="4"/>
        <v>0</v>
      </c>
      <c r="H90" s="225">
        <f t="shared" si="3"/>
        <v>0</v>
      </c>
    </row>
    <row r="91" spans="1:8" s="10" customFormat="1" ht="28.5" x14ac:dyDescent="0.2">
      <c r="A91" s="241" t="s">
        <v>790</v>
      </c>
      <c r="B91" s="58" t="s">
        <v>744</v>
      </c>
      <c r="C91" s="73" t="s">
        <v>745</v>
      </c>
      <c r="D91" s="179" t="s">
        <v>172</v>
      </c>
      <c r="E91" s="36" t="s">
        <v>657</v>
      </c>
      <c r="F91" s="592">
        <v>9.51</v>
      </c>
      <c r="G91" s="592">
        <f t="shared" si="4"/>
        <v>12.137613</v>
      </c>
      <c r="H91" s="225">
        <f t="shared" si="3"/>
        <v>3641.28</v>
      </c>
    </row>
    <row r="92" spans="1:8" s="10" customFormat="1" ht="28.5" x14ac:dyDescent="0.2">
      <c r="A92" s="241" t="s">
        <v>791</v>
      </c>
      <c r="B92" s="58" t="s">
        <v>746</v>
      </c>
      <c r="C92" s="73" t="s">
        <v>747</v>
      </c>
      <c r="D92" s="179" t="s">
        <v>172</v>
      </c>
      <c r="E92" s="36" t="s">
        <v>658</v>
      </c>
      <c r="F92" s="592">
        <v>12.06</v>
      </c>
      <c r="G92" s="592">
        <f t="shared" si="4"/>
        <v>15.392178000000001</v>
      </c>
      <c r="H92" s="225">
        <f t="shared" si="3"/>
        <v>2308.8200000000002</v>
      </c>
    </row>
    <row r="93" spans="1:8" s="10" customFormat="1" ht="15" x14ac:dyDescent="0.2">
      <c r="A93" s="241" t="s">
        <v>792</v>
      </c>
      <c r="B93" s="60"/>
      <c r="C93" s="72" t="s">
        <v>133</v>
      </c>
      <c r="D93" s="33"/>
      <c r="E93" s="36"/>
      <c r="F93" s="592"/>
      <c r="G93" s="592">
        <f t="shared" si="4"/>
        <v>0</v>
      </c>
      <c r="H93" s="225">
        <f t="shared" si="3"/>
        <v>0</v>
      </c>
    </row>
    <row r="94" spans="1:8" s="10" customFormat="1" ht="14.25" x14ac:dyDescent="0.2">
      <c r="A94" s="241" t="s">
        <v>793</v>
      </c>
      <c r="B94" s="58" t="s">
        <v>748</v>
      </c>
      <c r="C94" s="73" t="s">
        <v>749</v>
      </c>
      <c r="D94" s="33"/>
      <c r="E94" s="36"/>
      <c r="F94" s="592"/>
      <c r="G94" s="592">
        <f t="shared" si="4"/>
        <v>0</v>
      </c>
      <c r="H94" s="225">
        <f t="shared" si="3"/>
        <v>0</v>
      </c>
    </row>
    <row r="95" spans="1:8" s="10" customFormat="1" ht="42.75" x14ac:dyDescent="0.2">
      <c r="A95" s="241" t="s">
        <v>794</v>
      </c>
      <c r="B95" s="58" t="s">
        <v>754</v>
      </c>
      <c r="C95" s="73" t="s">
        <v>750</v>
      </c>
      <c r="D95" s="179" t="s">
        <v>172</v>
      </c>
      <c r="E95" s="36" t="s">
        <v>659</v>
      </c>
      <c r="F95" s="592">
        <v>40.31</v>
      </c>
      <c r="G95" s="592">
        <f t="shared" si="4"/>
        <v>51.447653000000003</v>
      </c>
      <c r="H95" s="225">
        <f t="shared" si="3"/>
        <v>514.47</v>
      </c>
    </row>
    <row r="96" spans="1:8" s="10" customFormat="1" ht="14.25" x14ac:dyDescent="0.2">
      <c r="A96" s="241"/>
      <c r="B96" s="58"/>
      <c r="C96" s="64" t="s">
        <v>797</v>
      </c>
      <c r="D96" s="179"/>
      <c r="E96" s="36"/>
      <c r="F96" s="592"/>
      <c r="G96" s="592">
        <f t="shared" si="4"/>
        <v>0</v>
      </c>
      <c r="H96" s="227">
        <f>SUM(H88:H95)</f>
        <v>6847.46</v>
      </c>
    </row>
    <row r="97" spans="1:8" s="10" customFormat="1" ht="15.75" thickBot="1" x14ac:dyDescent="0.25">
      <c r="A97" s="242" t="s">
        <v>685</v>
      </c>
      <c r="B97" s="250"/>
      <c r="C97" s="251" t="s">
        <v>148</v>
      </c>
      <c r="D97" s="252"/>
      <c r="E97" s="234"/>
      <c r="F97" s="594"/>
      <c r="G97" s="592">
        <f t="shared" si="4"/>
        <v>0</v>
      </c>
      <c r="H97" s="235">
        <f t="shared" si="3"/>
        <v>0</v>
      </c>
    </row>
    <row r="98" spans="1:8" s="10" customFormat="1" ht="42.75" x14ac:dyDescent="0.2">
      <c r="A98" s="246" t="s">
        <v>795</v>
      </c>
      <c r="B98" s="247" t="s">
        <v>754</v>
      </c>
      <c r="C98" s="253" t="s">
        <v>752</v>
      </c>
      <c r="D98" s="254" t="s">
        <v>172</v>
      </c>
      <c r="E98" s="239" t="s">
        <v>660</v>
      </c>
      <c r="F98" s="595">
        <v>8.48</v>
      </c>
      <c r="G98" s="592">
        <f t="shared" si="4"/>
        <v>10.823024</v>
      </c>
      <c r="H98" s="240">
        <f t="shared" si="3"/>
        <v>32.46</v>
      </c>
    </row>
    <row r="99" spans="1:8" s="10" customFormat="1" ht="42.75" x14ac:dyDescent="0.2">
      <c r="A99" s="241" t="s">
        <v>796</v>
      </c>
      <c r="B99" s="58" t="s">
        <v>754</v>
      </c>
      <c r="C99" s="73" t="s">
        <v>753</v>
      </c>
      <c r="D99" s="179" t="s">
        <v>172</v>
      </c>
      <c r="E99" s="36" t="s">
        <v>661</v>
      </c>
      <c r="F99" s="592">
        <v>16.03</v>
      </c>
      <c r="G99" s="592">
        <f t="shared" si="4"/>
        <v>20.459089000000002</v>
      </c>
      <c r="H99" s="225">
        <f t="shared" si="3"/>
        <v>20.45</v>
      </c>
    </row>
    <row r="100" spans="1:8" s="10" customFormat="1" ht="15" x14ac:dyDescent="0.2">
      <c r="A100" s="241" t="s">
        <v>686</v>
      </c>
      <c r="B100" s="60"/>
      <c r="C100" s="72" t="s">
        <v>149</v>
      </c>
      <c r="D100" s="33"/>
      <c r="E100" s="36"/>
      <c r="F100" s="592"/>
      <c r="G100" s="592">
        <f t="shared" si="4"/>
        <v>0</v>
      </c>
      <c r="H100" s="225">
        <f t="shared" si="3"/>
        <v>0</v>
      </c>
    </row>
    <row r="101" spans="1:8" s="10" customFormat="1" ht="42.75" x14ac:dyDescent="0.2">
      <c r="A101" s="241" t="s">
        <v>798</v>
      </c>
      <c r="B101" s="58" t="s">
        <v>754</v>
      </c>
      <c r="C101" s="73" t="s">
        <v>755</v>
      </c>
      <c r="D101" s="179" t="s">
        <v>172</v>
      </c>
      <c r="E101" s="36" t="s">
        <v>662</v>
      </c>
      <c r="F101" s="592">
        <v>9.68</v>
      </c>
      <c r="G101" s="592">
        <f t="shared" si="4"/>
        <v>12.354583999999999</v>
      </c>
      <c r="H101" s="225">
        <f t="shared" si="3"/>
        <v>395.34</v>
      </c>
    </row>
    <row r="102" spans="1:8" s="10" customFormat="1" ht="15" x14ac:dyDescent="0.2">
      <c r="A102" s="241" t="s">
        <v>687</v>
      </c>
      <c r="B102" s="60"/>
      <c r="C102" s="72" t="s">
        <v>167</v>
      </c>
      <c r="D102" s="33"/>
      <c r="E102" s="36"/>
      <c r="F102" s="592"/>
      <c r="G102" s="592">
        <f t="shared" si="4"/>
        <v>0</v>
      </c>
      <c r="H102" s="225">
        <f t="shared" si="3"/>
        <v>0</v>
      </c>
    </row>
    <row r="103" spans="1:8" s="10" customFormat="1" ht="14.25" x14ac:dyDescent="0.2">
      <c r="A103" s="241" t="s">
        <v>799</v>
      </c>
      <c r="B103" s="58" t="s">
        <v>784</v>
      </c>
      <c r="C103" s="73" t="s">
        <v>785</v>
      </c>
      <c r="D103" s="179" t="s">
        <v>172</v>
      </c>
      <c r="E103" s="36" t="s">
        <v>663</v>
      </c>
      <c r="F103" s="592">
        <v>116.46</v>
      </c>
      <c r="G103" s="592">
        <f t="shared" si="4"/>
        <v>148.63789799999998</v>
      </c>
      <c r="H103" s="225">
        <f t="shared" si="3"/>
        <v>1337.74</v>
      </c>
    </row>
    <row r="104" spans="1:8" s="10" customFormat="1" x14ac:dyDescent="0.2">
      <c r="A104" s="241" t="s">
        <v>800</v>
      </c>
      <c r="B104" s="60"/>
      <c r="C104" s="67" t="s">
        <v>664</v>
      </c>
      <c r="D104" s="33"/>
      <c r="E104" s="36"/>
      <c r="F104" s="592"/>
      <c r="G104" s="592">
        <f t="shared" si="4"/>
        <v>0</v>
      </c>
      <c r="H104" s="225">
        <f t="shared" si="3"/>
        <v>0</v>
      </c>
    </row>
    <row r="105" spans="1:8" s="10" customFormat="1" ht="42.75" x14ac:dyDescent="0.2">
      <c r="A105" s="241" t="s">
        <v>801</v>
      </c>
      <c r="B105" s="58" t="s">
        <v>754</v>
      </c>
      <c r="C105" s="73" t="s">
        <v>756</v>
      </c>
      <c r="D105" s="179" t="s">
        <v>172</v>
      </c>
      <c r="E105" s="36" t="s">
        <v>665</v>
      </c>
      <c r="F105" s="592">
        <v>68.61</v>
      </c>
      <c r="G105" s="592">
        <f t="shared" si="4"/>
        <v>87.566942999999995</v>
      </c>
      <c r="H105" s="225">
        <f t="shared" si="3"/>
        <v>437.83</v>
      </c>
    </row>
    <row r="106" spans="1:8" s="10" customFormat="1" ht="71.25" x14ac:dyDescent="0.2">
      <c r="A106" s="241" t="s">
        <v>802</v>
      </c>
      <c r="B106" s="58" t="s">
        <v>757</v>
      </c>
      <c r="C106" s="73" t="s">
        <v>758</v>
      </c>
      <c r="D106" s="179" t="s">
        <v>172</v>
      </c>
      <c r="E106" s="36" t="s">
        <v>666</v>
      </c>
      <c r="F106" s="592">
        <v>88.65</v>
      </c>
      <c r="G106" s="592">
        <f t="shared" si="4"/>
        <v>113.143995</v>
      </c>
      <c r="H106" s="225">
        <f t="shared" si="3"/>
        <v>226.28</v>
      </c>
    </row>
    <row r="107" spans="1:8" s="10" customFormat="1" ht="28.5" x14ac:dyDescent="0.2">
      <c r="A107" s="241" t="s">
        <v>803</v>
      </c>
      <c r="B107" s="58" t="s">
        <v>759</v>
      </c>
      <c r="C107" s="73" t="s">
        <v>760</v>
      </c>
      <c r="D107" s="179" t="s">
        <v>172</v>
      </c>
      <c r="E107" s="36" t="s">
        <v>667</v>
      </c>
      <c r="F107" s="592">
        <v>151.83000000000001</v>
      </c>
      <c r="G107" s="592">
        <f t="shared" si="4"/>
        <v>193.780629</v>
      </c>
      <c r="H107" s="225">
        <f t="shared" si="3"/>
        <v>2131.58</v>
      </c>
    </row>
    <row r="108" spans="1:8" s="10" customFormat="1" ht="14.25" x14ac:dyDescent="0.2">
      <c r="A108" s="241" t="s">
        <v>804</v>
      </c>
      <c r="B108" s="58" t="s">
        <v>754</v>
      </c>
      <c r="C108" s="73" t="s">
        <v>774</v>
      </c>
      <c r="D108" s="179" t="s">
        <v>172</v>
      </c>
      <c r="E108" s="36" t="s">
        <v>668</v>
      </c>
      <c r="F108" s="592">
        <v>21.66</v>
      </c>
      <c r="G108" s="592">
        <f t="shared" si="4"/>
        <v>27.644658</v>
      </c>
      <c r="H108" s="225">
        <f t="shared" si="3"/>
        <v>110.57</v>
      </c>
    </row>
    <row r="109" spans="1:8" s="10" customFormat="1" ht="14.25" x14ac:dyDescent="0.2">
      <c r="A109" s="241"/>
      <c r="B109" s="58"/>
      <c r="C109" s="64" t="s">
        <v>805</v>
      </c>
      <c r="D109" s="179"/>
      <c r="E109" s="36"/>
      <c r="F109" s="592"/>
      <c r="G109" s="592">
        <f t="shared" si="4"/>
        <v>0</v>
      </c>
      <c r="H109" s="227">
        <f>SUM(H97:H108)</f>
        <v>4692.25</v>
      </c>
    </row>
    <row r="110" spans="1:8" s="10" customFormat="1" x14ac:dyDescent="0.2">
      <c r="A110" s="241" t="s">
        <v>701</v>
      </c>
      <c r="B110" s="60"/>
      <c r="C110" s="67" t="s">
        <v>304</v>
      </c>
      <c r="D110" s="33"/>
      <c r="E110" s="36"/>
      <c r="F110" s="592"/>
      <c r="G110" s="592">
        <f t="shared" si="4"/>
        <v>0</v>
      </c>
      <c r="H110" s="225">
        <f t="shared" si="3"/>
        <v>0</v>
      </c>
    </row>
    <row r="111" spans="1:8" s="10" customFormat="1" ht="15" x14ac:dyDescent="0.2">
      <c r="A111" s="241" t="s">
        <v>702</v>
      </c>
      <c r="B111" s="60"/>
      <c r="C111" s="72" t="s">
        <v>306</v>
      </c>
      <c r="D111" s="33"/>
      <c r="E111" s="36"/>
      <c r="F111" s="592"/>
      <c r="G111" s="592">
        <f t="shared" si="4"/>
        <v>0</v>
      </c>
      <c r="H111" s="225">
        <f t="shared" si="3"/>
        <v>0</v>
      </c>
    </row>
    <row r="112" spans="1:8" s="10" customFormat="1" ht="28.5" x14ac:dyDescent="0.2">
      <c r="A112" s="241" t="s">
        <v>703</v>
      </c>
      <c r="B112" s="58" t="s">
        <v>761</v>
      </c>
      <c r="C112" s="73" t="s">
        <v>762</v>
      </c>
      <c r="D112" s="33" t="s">
        <v>160</v>
      </c>
      <c r="E112" s="36" t="s">
        <v>669</v>
      </c>
      <c r="F112" s="592">
        <v>39.58</v>
      </c>
      <c r="G112" s="592">
        <f t="shared" si="4"/>
        <v>50.515954000000001</v>
      </c>
      <c r="H112" s="225">
        <f t="shared" si="3"/>
        <v>14144.46</v>
      </c>
    </row>
    <row r="113" spans="1:8" s="10" customFormat="1" ht="14.25" x14ac:dyDescent="0.2">
      <c r="A113" s="241" t="s">
        <v>1370</v>
      </c>
      <c r="B113" s="58" t="s">
        <v>782</v>
      </c>
      <c r="C113" s="73" t="s">
        <v>777</v>
      </c>
      <c r="D113" s="33" t="s">
        <v>165</v>
      </c>
      <c r="E113" s="36">
        <v>12</v>
      </c>
      <c r="F113" s="592">
        <v>42.47</v>
      </c>
      <c r="G113" s="592">
        <f t="shared" si="4"/>
        <v>54.204460999999995</v>
      </c>
      <c r="H113" s="225">
        <f t="shared" si="3"/>
        <v>650.45000000000005</v>
      </c>
    </row>
    <row r="114" spans="1:8" s="10" customFormat="1" ht="15" x14ac:dyDescent="0.2">
      <c r="A114" s="241" t="s">
        <v>704</v>
      </c>
      <c r="B114" s="60"/>
      <c r="C114" s="72" t="s">
        <v>311</v>
      </c>
      <c r="D114" s="33"/>
      <c r="E114" s="36"/>
      <c r="F114" s="592"/>
      <c r="G114" s="592">
        <f t="shared" si="4"/>
        <v>0</v>
      </c>
      <c r="H114" s="225">
        <f t="shared" si="3"/>
        <v>0</v>
      </c>
    </row>
    <row r="115" spans="1:8" s="10" customFormat="1" ht="42.75" x14ac:dyDescent="0.2">
      <c r="A115" s="241" t="s">
        <v>705</v>
      </c>
      <c r="B115" s="58" t="s">
        <v>779</v>
      </c>
      <c r="C115" s="62" t="s">
        <v>778</v>
      </c>
      <c r="D115" s="74" t="s">
        <v>165</v>
      </c>
      <c r="E115" s="36">
        <v>2</v>
      </c>
      <c r="F115" s="592">
        <v>7.29</v>
      </c>
      <c r="G115" s="592">
        <f t="shared" si="4"/>
        <v>9.3042269999999991</v>
      </c>
      <c r="H115" s="225">
        <f t="shared" si="3"/>
        <v>18.600000000000001</v>
      </c>
    </row>
    <row r="116" spans="1:8" s="10" customFormat="1" ht="28.5" x14ac:dyDescent="0.2">
      <c r="A116" s="241" t="s">
        <v>706</v>
      </c>
      <c r="B116" s="58" t="s">
        <v>754</v>
      </c>
      <c r="C116" s="73" t="s">
        <v>770</v>
      </c>
      <c r="D116" s="179" t="s">
        <v>172</v>
      </c>
      <c r="E116" s="36">
        <v>40</v>
      </c>
      <c r="F116" s="592">
        <v>12.31</v>
      </c>
      <c r="G116" s="592">
        <f t="shared" si="4"/>
        <v>15.711253000000001</v>
      </c>
      <c r="H116" s="225">
        <f t="shared" si="3"/>
        <v>628.45000000000005</v>
      </c>
    </row>
    <row r="117" spans="1:8" s="10" customFormat="1" ht="28.5" x14ac:dyDescent="0.2">
      <c r="A117" s="241" t="s">
        <v>763</v>
      </c>
      <c r="B117" s="58" t="s">
        <v>771</v>
      </c>
      <c r="C117" s="73" t="s">
        <v>772</v>
      </c>
      <c r="D117" s="179" t="s">
        <v>172</v>
      </c>
      <c r="E117" s="36" t="s">
        <v>670</v>
      </c>
      <c r="F117" s="592">
        <v>11.93</v>
      </c>
      <c r="G117" s="592">
        <f t="shared" si="4"/>
        <v>15.226258999999999</v>
      </c>
      <c r="H117" s="225">
        <f t="shared" si="3"/>
        <v>685.18</v>
      </c>
    </row>
    <row r="118" spans="1:8" s="10" customFormat="1" ht="38.25" x14ac:dyDescent="0.2">
      <c r="A118" s="241" t="s">
        <v>1371</v>
      </c>
      <c r="B118" s="58" t="s">
        <v>1344</v>
      </c>
      <c r="C118" s="73" t="s">
        <v>783</v>
      </c>
      <c r="D118" s="179" t="s">
        <v>172</v>
      </c>
      <c r="E118" s="36">
        <v>113</v>
      </c>
      <c r="F118" s="592">
        <v>21.92</v>
      </c>
      <c r="G118" s="592">
        <f t="shared" si="4"/>
        <v>27.976496000000001</v>
      </c>
      <c r="H118" s="225">
        <f t="shared" si="3"/>
        <v>3161.34</v>
      </c>
    </row>
    <row r="119" spans="1:8" s="10" customFormat="1" ht="15" x14ac:dyDescent="0.25">
      <c r="A119" s="241" t="s">
        <v>707</v>
      </c>
      <c r="B119" s="58"/>
      <c r="C119" s="75" t="s">
        <v>315</v>
      </c>
      <c r="D119" s="180"/>
      <c r="E119" s="36"/>
      <c r="F119" s="592"/>
      <c r="G119" s="592">
        <f t="shared" si="4"/>
        <v>0</v>
      </c>
      <c r="H119" s="225">
        <f t="shared" si="3"/>
        <v>0</v>
      </c>
    </row>
    <row r="120" spans="1:8" s="10" customFormat="1" ht="14.25" x14ac:dyDescent="0.2">
      <c r="A120" s="241" t="s">
        <v>708</v>
      </c>
      <c r="B120" s="58" t="s">
        <v>782</v>
      </c>
      <c r="C120" s="62" t="s">
        <v>777</v>
      </c>
      <c r="D120" s="74" t="s">
        <v>165</v>
      </c>
      <c r="E120" s="36">
        <v>34</v>
      </c>
      <c r="F120" s="592">
        <v>42.47</v>
      </c>
      <c r="G120" s="592">
        <f t="shared" si="4"/>
        <v>54.204460999999995</v>
      </c>
      <c r="H120" s="225">
        <f t="shared" si="3"/>
        <v>1842.95</v>
      </c>
    </row>
    <row r="121" spans="1:8" s="10" customFormat="1" ht="15" x14ac:dyDescent="0.2">
      <c r="A121" s="241" t="s">
        <v>1372</v>
      </c>
      <c r="B121" s="58"/>
      <c r="C121" s="72" t="s">
        <v>317</v>
      </c>
      <c r="D121" s="33"/>
      <c r="E121" s="36"/>
      <c r="F121" s="592"/>
      <c r="G121" s="592">
        <f t="shared" si="4"/>
        <v>0</v>
      </c>
      <c r="H121" s="225">
        <f t="shared" si="3"/>
        <v>0</v>
      </c>
    </row>
    <row r="122" spans="1:8" s="10" customFormat="1" ht="14.25" x14ac:dyDescent="0.2">
      <c r="A122" s="241" t="s">
        <v>1373</v>
      </c>
      <c r="B122" s="58" t="s">
        <v>782</v>
      </c>
      <c r="C122" s="73" t="s">
        <v>777</v>
      </c>
      <c r="D122" s="179" t="s">
        <v>172</v>
      </c>
      <c r="E122" s="36">
        <v>33</v>
      </c>
      <c r="F122" s="592">
        <v>42.47</v>
      </c>
      <c r="G122" s="592">
        <f t="shared" si="4"/>
        <v>54.204460999999995</v>
      </c>
      <c r="H122" s="225">
        <f t="shared" si="3"/>
        <v>1788.74</v>
      </c>
    </row>
    <row r="123" spans="1:8" s="10" customFormat="1" ht="28.5" x14ac:dyDescent="0.2">
      <c r="A123" s="241" t="s">
        <v>1374</v>
      </c>
      <c r="B123" s="58" t="s">
        <v>775</v>
      </c>
      <c r="C123" s="73" t="s">
        <v>776</v>
      </c>
      <c r="D123" s="33" t="s">
        <v>160</v>
      </c>
      <c r="E123" s="36" t="s">
        <v>671</v>
      </c>
      <c r="F123" s="592">
        <v>48.66</v>
      </c>
      <c r="G123" s="592">
        <f t="shared" si="4"/>
        <v>62.104757999999997</v>
      </c>
      <c r="H123" s="225">
        <f t="shared" si="3"/>
        <v>2111.56</v>
      </c>
    </row>
    <row r="124" spans="1:8" s="10" customFormat="1" x14ac:dyDescent="0.2">
      <c r="A124" s="241"/>
      <c r="B124" s="58"/>
      <c r="C124" s="64" t="s">
        <v>806</v>
      </c>
      <c r="D124" s="33"/>
      <c r="E124" s="36"/>
      <c r="F124" s="592"/>
      <c r="G124" s="592">
        <f t="shared" si="4"/>
        <v>0</v>
      </c>
      <c r="H124" s="227">
        <f>SUM(H110:H123)</f>
        <v>25031.730000000007</v>
      </c>
    </row>
    <row r="125" spans="1:8" s="10" customFormat="1" ht="15.75" thickBot="1" x14ac:dyDescent="0.25">
      <c r="A125" s="242" t="s">
        <v>709</v>
      </c>
      <c r="B125" s="243"/>
      <c r="C125" s="255" t="s">
        <v>41</v>
      </c>
      <c r="D125" s="252"/>
      <c r="E125" s="234"/>
      <c r="F125" s="594"/>
      <c r="G125" s="592">
        <f t="shared" si="4"/>
        <v>0</v>
      </c>
      <c r="H125" s="235">
        <f t="shared" si="3"/>
        <v>0</v>
      </c>
    </row>
    <row r="126" spans="1:8" s="10" customFormat="1" ht="28.5" x14ac:dyDescent="0.2">
      <c r="A126" s="246" t="s">
        <v>710</v>
      </c>
      <c r="B126" s="247" t="s">
        <v>780</v>
      </c>
      <c r="C126" s="256" t="s">
        <v>781</v>
      </c>
      <c r="D126" s="249" t="s">
        <v>111</v>
      </c>
      <c r="E126" s="239" t="s">
        <v>661</v>
      </c>
      <c r="F126" s="595">
        <v>465.47</v>
      </c>
      <c r="G126" s="592">
        <f t="shared" si="4"/>
        <v>594.07936100000006</v>
      </c>
      <c r="H126" s="240">
        <f t="shared" si="3"/>
        <v>594.07000000000005</v>
      </c>
    </row>
    <row r="127" spans="1:8" s="10" customFormat="1" x14ac:dyDescent="0.2">
      <c r="A127" s="241"/>
      <c r="B127" s="58"/>
      <c r="C127" s="64" t="s">
        <v>807</v>
      </c>
      <c r="D127" s="33"/>
      <c r="E127" s="36"/>
      <c r="F127" s="592"/>
      <c r="G127" s="592"/>
      <c r="H127" s="227">
        <f>SUM(H125:H126)</f>
        <v>594.07000000000005</v>
      </c>
    </row>
    <row r="128" spans="1:8" ht="15.75" x14ac:dyDescent="0.25">
      <c r="A128" s="257"/>
      <c r="B128" s="35"/>
      <c r="C128" s="84" t="s">
        <v>53</v>
      </c>
      <c r="D128" s="38"/>
      <c r="E128" s="36"/>
      <c r="F128" s="592"/>
      <c r="G128" s="592">
        <f t="shared" ref="G128" si="5">SUM(F128*1.25)</f>
        <v>0</v>
      </c>
      <c r="H128" s="258">
        <f>SUM(H127+H124+H109+H96+H87+H81+H77+H66+H63+H59+H46+H39+H34+H27)</f>
        <v>378078.66000000003</v>
      </c>
    </row>
    <row r="129" spans="1:8" ht="45.75" x14ac:dyDescent="0.25">
      <c r="A129" s="257"/>
      <c r="B129" s="31"/>
      <c r="C129" s="82" t="s">
        <v>1356</v>
      </c>
      <c r="D129" s="31"/>
      <c r="E129" s="36"/>
      <c r="F129" s="36"/>
      <c r="G129" s="36"/>
      <c r="H129" s="259"/>
    </row>
    <row r="130" spans="1:8" x14ac:dyDescent="0.2">
      <c r="A130" s="257"/>
      <c r="B130" s="31"/>
      <c r="C130" s="58"/>
      <c r="D130" s="31"/>
      <c r="E130" s="36"/>
      <c r="F130" s="36"/>
      <c r="G130" s="36"/>
      <c r="H130" s="225"/>
    </row>
    <row r="131" spans="1:8" ht="13.5" x14ac:dyDescent="0.25">
      <c r="A131" s="260"/>
      <c r="B131" s="41"/>
      <c r="C131" s="44"/>
      <c r="D131" s="40"/>
      <c r="E131" s="24"/>
      <c r="F131" s="41"/>
      <c r="G131" s="40"/>
      <c r="H131" s="261"/>
    </row>
    <row r="132" spans="1:8" ht="13.5" x14ac:dyDescent="0.25">
      <c r="A132" s="262"/>
      <c r="B132" s="43"/>
      <c r="C132" s="45"/>
      <c r="D132" s="42"/>
      <c r="E132" s="13"/>
      <c r="F132" s="43"/>
      <c r="G132" s="42"/>
      <c r="H132" s="263"/>
    </row>
    <row r="133" spans="1:8" ht="13.5" x14ac:dyDescent="0.25">
      <c r="A133" s="262"/>
      <c r="B133" s="43"/>
      <c r="C133" s="45"/>
      <c r="D133" s="42"/>
      <c r="E133" s="13"/>
      <c r="F133" s="43"/>
      <c r="G133" s="42"/>
      <c r="H133" s="263"/>
    </row>
    <row r="134" spans="1:8" ht="13.5" x14ac:dyDescent="0.25">
      <c r="A134" s="262"/>
      <c r="B134" s="43"/>
      <c r="C134" s="45"/>
      <c r="D134" s="42"/>
      <c r="E134" s="13"/>
      <c r="F134" s="43"/>
      <c r="G134" s="42"/>
      <c r="H134" s="263"/>
    </row>
    <row r="135" spans="1:8" ht="13.5" x14ac:dyDescent="0.25">
      <c r="A135" s="262"/>
      <c r="B135" s="43"/>
      <c r="C135" s="45"/>
      <c r="D135" s="42"/>
      <c r="E135" s="13"/>
      <c r="F135" s="43"/>
      <c r="G135" s="42"/>
      <c r="H135" s="263"/>
    </row>
    <row r="136" spans="1:8" ht="13.5" x14ac:dyDescent="0.25">
      <c r="A136" s="262"/>
      <c r="B136" s="43"/>
      <c r="C136" s="45"/>
      <c r="D136" s="42"/>
      <c r="E136" s="13"/>
      <c r="F136" s="43"/>
      <c r="G136" s="42"/>
      <c r="H136" s="263"/>
    </row>
    <row r="137" spans="1:8" ht="13.5" x14ac:dyDescent="0.25">
      <c r="A137" s="262"/>
      <c r="B137" s="43"/>
      <c r="C137" s="45"/>
      <c r="D137" s="42"/>
      <c r="E137" s="13"/>
      <c r="F137" s="43"/>
      <c r="G137" s="42"/>
      <c r="H137" s="263"/>
    </row>
    <row r="138" spans="1:8" ht="13.5" x14ac:dyDescent="0.25">
      <c r="A138" s="262"/>
      <c r="B138" s="43"/>
      <c r="C138" s="45"/>
      <c r="D138" s="42"/>
      <c r="E138" s="13"/>
      <c r="F138" s="43"/>
      <c r="G138" s="42"/>
      <c r="H138" s="263"/>
    </row>
    <row r="139" spans="1:8" ht="13.5" x14ac:dyDescent="0.25">
      <c r="A139" s="262"/>
      <c r="B139" s="43"/>
      <c r="C139" s="45"/>
      <c r="D139" s="42"/>
      <c r="E139" s="13"/>
      <c r="F139" s="43"/>
      <c r="G139" s="42"/>
      <c r="H139" s="263"/>
    </row>
    <row r="140" spans="1:8" ht="13.5" x14ac:dyDescent="0.25">
      <c r="A140" s="262"/>
      <c r="B140" s="43"/>
      <c r="C140" s="45"/>
      <c r="D140" s="42"/>
      <c r="E140" s="13"/>
      <c r="F140" s="43"/>
      <c r="G140" s="42"/>
      <c r="H140" s="263"/>
    </row>
    <row r="141" spans="1:8" ht="14.25" thickBot="1" x14ac:dyDescent="0.3">
      <c r="A141" s="264"/>
      <c r="B141" s="265"/>
      <c r="C141" s="266"/>
      <c r="D141" s="267"/>
      <c r="E141" s="268"/>
      <c r="F141" s="265"/>
      <c r="G141" s="267"/>
      <c r="H141" s="269"/>
    </row>
  </sheetData>
  <mergeCells count="20">
    <mergeCell ref="A13:A14"/>
    <mergeCell ref="B13:B14"/>
    <mergeCell ref="C13:C14"/>
    <mergeCell ref="D13:D14"/>
    <mergeCell ref="E13:E14"/>
    <mergeCell ref="A3:H3"/>
    <mergeCell ref="A4:H4"/>
    <mergeCell ref="A5:H5"/>
    <mergeCell ref="A8:H9"/>
    <mergeCell ref="A10:A11"/>
    <mergeCell ref="B10:C11"/>
    <mergeCell ref="G10:H10"/>
    <mergeCell ref="D10:F11"/>
    <mergeCell ref="G11:H11"/>
    <mergeCell ref="F13:F14"/>
    <mergeCell ref="G13:G14"/>
    <mergeCell ref="H13:H14"/>
    <mergeCell ref="B12:C12"/>
    <mergeCell ref="G12:H12"/>
    <mergeCell ref="D12:F12"/>
  </mergeCells>
  <phoneticPr fontId="0" type="noConversion"/>
  <conditionalFormatting sqref="E15:E30 F15:F37 E17:H17 E127:H128 E77:F65532 H77:H126 E18:F70 G18:G126 H18:H70">
    <cfRule type="cellIs" dxfId="12" priority="65" stopIfTrue="1" operator="equal">
      <formula>0</formula>
    </cfRule>
  </conditionalFormatting>
  <conditionalFormatting sqref="E78:F78">
    <cfRule type="cellIs" dxfId="11" priority="35" stopIfTrue="1" operator="equal">
      <formula>0</formula>
    </cfRule>
  </conditionalFormatting>
  <conditionalFormatting sqref="F38:F39">
    <cfRule type="cellIs" dxfId="10" priority="36" stopIfTrue="1" operator="equal">
      <formula>0</formula>
    </cfRule>
  </conditionalFormatting>
  <conditionalFormatting sqref="E80:E81">
    <cfRule type="cellIs" dxfId="9" priority="34" stopIfTrue="1" operator="equal">
      <formula>0</formula>
    </cfRule>
  </conditionalFormatting>
  <conditionalFormatting sqref="F79">
    <cfRule type="cellIs" dxfId="8" priority="21" stopIfTrue="1" operator="equal">
      <formula>0</formula>
    </cfRule>
  </conditionalFormatting>
  <conditionalFormatting sqref="E79">
    <cfRule type="cellIs" dxfId="7" priority="20" stopIfTrue="1" operator="equal">
      <formula>0</formula>
    </cfRule>
  </conditionalFormatting>
  <conditionalFormatting sqref="E113">
    <cfRule type="cellIs" dxfId="6" priority="12" stopIfTrue="1" operator="equal">
      <formula>0</formula>
    </cfRule>
  </conditionalFormatting>
  <conditionalFormatting sqref="E119:E120">
    <cfRule type="cellIs" dxfId="5" priority="10" stopIfTrue="1" operator="equal">
      <formula>0</formula>
    </cfRule>
  </conditionalFormatting>
  <conditionalFormatting sqref="E115">
    <cfRule type="cellIs" dxfId="4" priority="7" stopIfTrue="1" operator="equal">
      <formula>0</formula>
    </cfRule>
  </conditionalFormatting>
  <conditionalFormatting sqref="E71:F71 H71">
    <cfRule type="cellIs" dxfId="3" priority="6" stopIfTrue="1" operator="equal">
      <formula>0</formula>
    </cfRule>
  </conditionalFormatting>
  <conditionalFormatting sqref="E72:F76">
    <cfRule type="cellIs" dxfId="2" priority="5" stopIfTrue="1" operator="equal">
      <formula>0</formula>
    </cfRule>
  </conditionalFormatting>
  <conditionalFormatting sqref="H72:H76">
    <cfRule type="cellIs" dxfId="1" priority="3" stopIfTrue="1" operator="equal">
      <formula>0</formula>
    </cfRule>
  </conditionalFormatting>
  <printOptions horizontalCentered="1"/>
  <pageMargins left="0.78740157480314965" right="0.78740157480314965" top="0.78740157480314965" bottom="0.78740157480314965" header="0" footer="0"/>
  <pageSetup paperSize="9" scale="7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7"/>
  <sheetViews>
    <sheetView zoomScale="96" zoomScaleNormal="96" workbookViewId="0">
      <selection activeCell="F560" sqref="F560"/>
    </sheetView>
  </sheetViews>
  <sheetFormatPr defaultRowHeight="12.75" x14ac:dyDescent="0.2"/>
  <cols>
    <col min="1" max="1" width="10.28515625" customWidth="1"/>
    <col min="2" max="2" width="10.7109375" customWidth="1"/>
    <col min="3" max="3" width="64.85546875" customWidth="1"/>
    <col min="4" max="4" width="7" customWidth="1"/>
    <col min="6" max="7" width="18.5703125" customWidth="1"/>
    <col min="8" max="8" width="22.5703125" customWidth="1"/>
  </cols>
  <sheetData>
    <row r="1" spans="1:8" s="13" customFormat="1" x14ac:dyDescent="0.2">
      <c r="A1" s="207"/>
      <c r="B1" s="208"/>
      <c r="C1" s="208"/>
      <c r="D1" s="208"/>
      <c r="E1" s="208"/>
      <c r="F1" s="208"/>
      <c r="G1" s="208"/>
      <c r="H1" s="209"/>
    </row>
    <row r="2" spans="1:8" s="13" customFormat="1" x14ac:dyDescent="0.2">
      <c r="A2" s="210"/>
      <c r="B2" s="26"/>
      <c r="C2" s="26"/>
      <c r="D2" s="26"/>
      <c r="E2" s="26"/>
      <c r="F2" s="26"/>
      <c r="G2" s="26"/>
      <c r="H2" s="211"/>
    </row>
    <row r="3" spans="1:8" s="13" customFormat="1" ht="15" x14ac:dyDescent="0.2">
      <c r="A3" s="585" t="s">
        <v>1383</v>
      </c>
      <c r="B3" s="586"/>
      <c r="C3" s="586"/>
      <c r="D3" s="586"/>
      <c r="E3" s="586"/>
      <c r="F3" s="586"/>
      <c r="G3" s="586"/>
      <c r="H3" s="587"/>
    </row>
    <row r="4" spans="1:8" s="13" customFormat="1" ht="15" x14ac:dyDescent="0.2">
      <c r="A4" s="458"/>
      <c r="B4" s="459"/>
      <c r="C4" s="459"/>
      <c r="D4" s="459"/>
      <c r="E4" s="459"/>
      <c r="F4" s="459"/>
      <c r="G4" s="459"/>
      <c r="H4" s="460"/>
    </row>
    <row r="5" spans="1:8" s="13" customFormat="1" ht="14.25" x14ac:dyDescent="0.2">
      <c r="A5" s="461"/>
      <c r="B5" s="462"/>
      <c r="C5" s="462"/>
      <c r="D5" s="462"/>
      <c r="E5" s="462"/>
      <c r="F5" s="462"/>
      <c r="G5" s="462"/>
      <c r="H5" s="463"/>
    </row>
    <row r="6" spans="1:8" s="13" customFormat="1" ht="15.75" x14ac:dyDescent="0.2">
      <c r="A6" s="212"/>
      <c r="B6" s="39"/>
      <c r="C6" s="39"/>
      <c r="D6" s="39"/>
      <c r="E6" s="39"/>
      <c r="F6" s="39"/>
      <c r="G6" s="39"/>
      <c r="H6" s="213"/>
    </row>
    <row r="7" spans="1:8" s="13" customFormat="1" ht="16.5" thickBot="1" x14ac:dyDescent="0.25">
      <c r="A7" s="214"/>
      <c r="B7" s="215"/>
      <c r="C7" s="215"/>
      <c r="D7" s="215"/>
      <c r="E7" s="215"/>
      <c r="F7" s="215"/>
      <c r="G7" s="215"/>
      <c r="H7" s="216"/>
    </row>
    <row r="8" spans="1:8" ht="12.75" customHeight="1" x14ac:dyDescent="0.2">
      <c r="A8" s="489" t="s">
        <v>818</v>
      </c>
      <c r="B8" s="490"/>
      <c r="C8" s="490"/>
      <c r="D8" s="490"/>
      <c r="E8" s="490"/>
      <c r="F8" s="490"/>
      <c r="G8" s="490"/>
      <c r="H8" s="605"/>
    </row>
    <row r="9" spans="1:8" ht="13.5" customHeight="1" thickBot="1" x14ac:dyDescent="0.25">
      <c r="A9" s="491"/>
      <c r="B9" s="492"/>
      <c r="C9" s="492"/>
      <c r="D9" s="492"/>
      <c r="E9" s="492"/>
      <c r="F9" s="492"/>
      <c r="G9" s="492"/>
      <c r="H9" s="606"/>
    </row>
    <row r="10" spans="1:8" ht="32.25" customHeight="1" x14ac:dyDescent="0.2">
      <c r="A10" s="604" t="s">
        <v>208</v>
      </c>
      <c r="B10" s="600" t="s">
        <v>819</v>
      </c>
      <c r="C10" s="601"/>
      <c r="D10" s="614" t="s">
        <v>1382</v>
      </c>
      <c r="E10" s="615"/>
      <c r="F10" s="616"/>
      <c r="G10" s="598" t="s">
        <v>209</v>
      </c>
      <c r="H10" s="599"/>
    </row>
    <row r="11" spans="1:8" ht="31.5" customHeight="1" x14ac:dyDescent="0.2">
      <c r="A11" s="493"/>
      <c r="B11" s="602"/>
      <c r="C11" s="603"/>
      <c r="D11" s="617"/>
      <c r="E11" s="618"/>
      <c r="F11" s="619"/>
      <c r="G11" s="596" t="s">
        <v>786</v>
      </c>
      <c r="H11" s="597"/>
    </row>
    <row r="12" spans="1:8" ht="65.25" customHeight="1" thickBot="1" x14ac:dyDescent="0.25">
      <c r="A12" s="297" t="s">
        <v>210</v>
      </c>
      <c r="B12" s="612" t="s">
        <v>624</v>
      </c>
      <c r="C12" s="613"/>
      <c r="D12" s="609" t="s">
        <v>214</v>
      </c>
      <c r="E12" s="610"/>
      <c r="F12" s="611"/>
      <c r="G12" s="607" t="s">
        <v>1385</v>
      </c>
      <c r="H12" s="608"/>
    </row>
    <row r="13" spans="1:8" ht="15" x14ac:dyDescent="0.25">
      <c r="A13" s="483" t="s">
        <v>162</v>
      </c>
      <c r="B13" s="485" t="s">
        <v>213</v>
      </c>
      <c r="C13" s="487" t="s">
        <v>211</v>
      </c>
      <c r="D13" s="487" t="s">
        <v>163</v>
      </c>
      <c r="E13" s="487" t="s">
        <v>212</v>
      </c>
      <c r="F13" s="298" t="s">
        <v>820</v>
      </c>
      <c r="G13" s="298" t="s">
        <v>820</v>
      </c>
      <c r="H13" s="299" t="s">
        <v>821</v>
      </c>
    </row>
    <row r="14" spans="1:8" ht="15.75" thickBot="1" x14ac:dyDescent="0.3">
      <c r="A14" s="484"/>
      <c r="B14" s="486"/>
      <c r="C14" s="488"/>
      <c r="D14" s="488"/>
      <c r="E14" s="488"/>
      <c r="F14" s="274" t="s">
        <v>822</v>
      </c>
      <c r="G14" s="274" t="s">
        <v>823</v>
      </c>
      <c r="H14" s="275" t="s">
        <v>824</v>
      </c>
    </row>
    <row r="15" spans="1:8" x14ac:dyDescent="0.2">
      <c r="A15" s="276" t="s">
        <v>221</v>
      </c>
      <c r="B15" s="277" t="s">
        <v>106</v>
      </c>
      <c r="C15" s="278" t="s">
        <v>107</v>
      </c>
      <c r="D15" s="279"/>
      <c r="E15" s="280"/>
      <c r="F15" s="625" t="s">
        <v>825</v>
      </c>
      <c r="G15" s="282"/>
      <c r="H15" s="283"/>
    </row>
    <row r="16" spans="1:8" x14ac:dyDescent="0.2">
      <c r="A16" s="284" t="s">
        <v>222</v>
      </c>
      <c r="B16" s="81" t="s">
        <v>108</v>
      </c>
      <c r="C16" s="80" t="s">
        <v>109</v>
      </c>
      <c r="D16" s="2"/>
      <c r="E16" s="4"/>
      <c r="F16" s="626" t="s">
        <v>825</v>
      </c>
      <c r="G16" s="4"/>
      <c r="H16" s="285"/>
    </row>
    <row r="17" spans="1:8" x14ac:dyDescent="0.2">
      <c r="A17" s="284" t="s">
        <v>826</v>
      </c>
      <c r="B17" s="81" t="s">
        <v>115</v>
      </c>
      <c r="C17" s="1" t="s">
        <v>116</v>
      </c>
      <c r="D17" s="1"/>
      <c r="E17" s="3"/>
      <c r="F17" s="626" t="s">
        <v>825</v>
      </c>
      <c r="G17" s="4"/>
      <c r="H17" s="285"/>
    </row>
    <row r="18" spans="1:8" x14ac:dyDescent="0.2">
      <c r="A18" s="284" t="s">
        <v>827</v>
      </c>
      <c r="B18" s="86"/>
      <c r="C18" s="63" t="s">
        <v>110</v>
      </c>
      <c r="D18" s="86" t="s">
        <v>111</v>
      </c>
      <c r="E18" s="87">
        <v>370.9</v>
      </c>
      <c r="F18" s="627">
        <v>69.34</v>
      </c>
      <c r="G18" s="88">
        <f>TRUNC((F18*E18),2)</f>
        <v>25718.2</v>
      </c>
      <c r="H18" s="286"/>
    </row>
    <row r="19" spans="1:8" x14ac:dyDescent="0.2">
      <c r="A19" s="284" t="s">
        <v>828</v>
      </c>
      <c r="B19" s="86"/>
      <c r="C19" s="63" t="s">
        <v>112</v>
      </c>
      <c r="D19" s="86" t="s">
        <v>161</v>
      </c>
      <c r="E19" s="87">
        <v>5524.2</v>
      </c>
      <c r="F19" s="627">
        <v>11.04</v>
      </c>
      <c r="G19" s="88">
        <f>TRUNC((F19*E19),2)</f>
        <v>60987.16</v>
      </c>
      <c r="H19" s="286"/>
    </row>
    <row r="20" spans="1:8" x14ac:dyDescent="0.2">
      <c r="A20" s="284" t="s">
        <v>829</v>
      </c>
      <c r="B20" s="86"/>
      <c r="C20" s="63" t="s">
        <v>113</v>
      </c>
      <c r="D20" s="86" t="s">
        <v>114</v>
      </c>
      <c r="E20" s="87">
        <v>35.9</v>
      </c>
      <c r="F20" s="627">
        <v>548.12</v>
      </c>
      <c r="G20" s="88">
        <f>TRUNC((F20*E20),2)</f>
        <v>19677.5</v>
      </c>
      <c r="H20" s="286"/>
    </row>
    <row r="21" spans="1:8" x14ac:dyDescent="0.2">
      <c r="A21" s="284"/>
      <c r="B21" s="89"/>
      <c r="C21" s="80" t="s">
        <v>147</v>
      </c>
      <c r="D21" s="76"/>
      <c r="E21" s="76"/>
      <c r="F21" s="627"/>
      <c r="G21" s="90">
        <f>SUM(G18:G20)</f>
        <v>106382.86</v>
      </c>
      <c r="H21" s="287">
        <f>SUM(G21)</f>
        <v>106382.86</v>
      </c>
    </row>
    <row r="22" spans="1:8" x14ac:dyDescent="0.2">
      <c r="A22" s="284" t="s">
        <v>628</v>
      </c>
      <c r="B22" s="14" t="s">
        <v>527</v>
      </c>
      <c r="C22" s="77" t="s">
        <v>528</v>
      </c>
      <c r="D22" s="91"/>
      <c r="E22" s="91"/>
      <c r="F22" s="627"/>
      <c r="G22" s="91"/>
      <c r="H22" s="287"/>
    </row>
    <row r="23" spans="1:8" x14ac:dyDescent="0.2">
      <c r="A23" s="284" t="s">
        <v>629</v>
      </c>
      <c r="B23" s="14" t="s">
        <v>507</v>
      </c>
      <c r="C23" s="77" t="s">
        <v>508</v>
      </c>
      <c r="D23" s="91"/>
      <c r="E23" s="91"/>
      <c r="F23" s="627"/>
      <c r="G23" s="91"/>
      <c r="H23" s="287"/>
    </row>
    <row r="24" spans="1:8" x14ac:dyDescent="0.2">
      <c r="A24" s="284" t="s">
        <v>630</v>
      </c>
      <c r="B24" s="14" t="s">
        <v>35</v>
      </c>
      <c r="C24" s="77" t="s">
        <v>36</v>
      </c>
      <c r="D24" s="91"/>
      <c r="E24" s="91"/>
      <c r="F24" s="627"/>
      <c r="G24" s="91"/>
      <c r="H24" s="287"/>
    </row>
    <row r="25" spans="1:8" x14ac:dyDescent="0.2">
      <c r="A25" s="284" t="s">
        <v>830</v>
      </c>
      <c r="B25" s="50"/>
      <c r="C25" s="92" t="s">
        <v>231</v>
      </c>
      <c r="D25" s="50" t="s">
        <v>111</v>
      </c>
      <c r="E25" s="87">
        <f>((2.85*2.1)*2)+((4.05*2.1)*4)</f>
        <v>45.99</v>
      </c>
      <c r="F25" s="627">
        <v>115.02</v>
      </c>
      <c r="G25" s="88">
        <f>TRUNC((F25*E25),2)</f>
        <v>5289.76</v>
      </c>
      <c r="H25" s="287"/>
    </row>
    <row r="26" spans="1:8" x14ac:dyDescent="0.2">
      <c r="A26" s="284" t="s">
        <v>831</v>
      </c>
      <c r="B26" s="50"/>
      <c r="C26" s="92" t="s">
        <v>39</v>
      </c>
      <c r="D26" s="50" t="s">
        <v>111</v>
      </c>
      <c r="E26" s="87">
        <f>1.8*((2*(0.8+0.8)+(8*0.8)+(2*(1.1+0.25+0.8))+(1.2*3)+(1.3+0.25+0.2)+(0.85*6)+(1.15+1.3+0.9+0.9+0.35+0.35)))</f>
        <v>52.74</v>
      </c>
      <c r="F26" s="627">
        <v>566.23</v>
      </c>
      <c r="G26" s="88">
        <f>TRUNC((F26*E26),2)</f>
        <v>29862.97</v>
      </c>
      <c r="H26" s="287"/>
    </row>
    <row r="27" spans="1:8" x14ac:dyDescent="0.2">
      <c r="A27" s="284"/>
      <c r="B27" s="93"/>
      <c r="C27" s="94" t="s">
        <v>481</v>
      </c>
      <c r="D27" s="95"/>
      <c r="E27" s="95"/>
      <c r="F27" s="627"/>
      <c r="G27" s="96">
        <f>SUM(G25:G26)</f>
        <v>35152.730000000003</v>
      </c>
      <c r="H27" s="287">
        <f>SUM(G27)</f>
        <v>35152.730000000003</v>
      </c>
    </row>
    <row r="28" spans="1:8" x14ac:dyDescent="0.2">
      <c r="A28" s="284" t="s">
        <v>223</v>
      </c>
      <c r="B28" s="14" t="s">
        <v>477</v>
      </c>
      <c r="C28" s="77" t="s">
        <v>479</v>
      </c>
      <c r="D28" s="91"/>
      <c r="E28" s="91"/>
      <c r="F28" s="627"/>
      <c r="G28" s="91"/>
      <c r="H28" s="287"/>
    </row>
    <row r="29" spans="1:8" x14ac:dyDescent="0.2">
      <c r="A29" s="284" t="s">
        <v>832</v>
      </c>
      <c r="B29" s="14" t="s">
        <v>363</v>
      </c>
      <c r="C29" s="77" t="s">
        <v>478</v>
      </c>
      <c r="D29" s="91"/>
      <c r="E29" s="91"/>
      <c r="F29" s="627"/>
      <c r="G29" s="91"/>
      <c r="H29" s="287"/>
    </row>
    <row r="30" spans="1:8" x14ac:dyDescent="0.2">
      <c r="A30" s="284" t="s">
        <v>643</v>
      </c>
      <c r="B30" s="97"/>
      <c r="C30" s="98" t="s">
        <v>40</v>
      </c>
      <c r="D30" s="97"/>
      <c r="E30" s="97"/>
      <c r="F30" s="627"/>
      <c r="G30" s="99"/>
      <c r="H30" s="287"/>
    </row>
    <row r="31" spans="1:8" x14ac:dyDescent="0.2">
      <c r="A31" s="284" t="s">
        <v>645</v>
      </c>
      <c r="B31" s="97"/>
      <c r="C31" s="92" t="s">
        <v>548</v>
      </c>
      <c r="D31" s="97" t="s">
        <v>172</v>
      </c>
      <c r="E31" s="87">
        <v>4</v>
      </c>
      <c r="F31" s="627">
        <v>480.41</v>
      </c>
      <c r="G31" s="88">
        <f>TRUNC((F31*E31),2)</f>
        <v>1921.64</v>
      </c>
      <c r="H31" s="287"/>
    </row>
    <row r="32" spans="1:8" x14ac:dyDescent="0.2">
      <c r="A32" s="284" t="s">
        <v>646</v>
      </c>
      <c r="B32" s="97"/>
      <c r="C32" s="92" t="s">
        <v>550</v>
      </c>
      <c r="D32" s="97" t="s">
        <v>172</v>
      </c>
      <c r="E32" s="87">
        <v>14</v>
      </c>
      <c r="F32" s="627">
        <v>470.25</v>
      </c>
      <c r="G32" s="88">
        <f>TRUNC((F32*E32),2)</f>
        <v>6583.5</v>
      </c>
      <c r="H32" s="287"/>
    </row>
    <row r="33" spans="1:8" x14ac:dyDescent="0.2">
      <c r="A33" s="284" t="s">
        <v>647</v>
      </c>
      <c r="B33" s="97"/>
      <c r="C33" s="92" t="s">
        <v>551</v>
      </c>
      <c r="D33" s="97" t="s">
        <v>172</v>
      </c>
      <c r="E33" s="87">
        <v>6</v>
      </c>
      <c r="F33" s="627">
        <v>186.06</v>
      </c>
      <c r="G33" s="88">
        <f>TRUNC((F33*E33),2)</f>
        <v>1116.3599999999999</v>
      </c>
      <c r="H33" s="287"/>
    </row>
    <row r="34" spans="1:8" x14ac:dyDescent="0.2">
      <c r="A34" s="284" t="s">
        <v>833</v>
      </c>
      <c r="B34" s="97"/>
      <c r="C34" s="92" t="s">
        <v>547</v>
      </c>
      <c r="D34" s="97" t="s">
        <v>172</v>
      </c>
      <c r="E34" s="87">
        <v>18</v>
      </c>
      <c r="F34" s="627">
        <v>337.31</v>
      </c>
      <c r="G34" s="88">
        <f>TRUNC((F34*E34),2)</f>
        <v>6071.58</v>
      </c>
      <c r="H34" s="287"/>
    </row>
    <row r="35" spans="1:8" x14ac:dyDescent="0.2">
      <c r="A35" s="284" t="s">
        <v>834</v>
      </c>
      <c r="B35" s="97"/>
      <c r="C35" s="92" t="s">
        <v>549</v>
      </c>
      <c r="D35" s="97" t="s">
        <v>172</v>
      </c>
      <c r="E35" s="87">
        <v>6</v>
      </c>
      <c r="F35" s="627">
        <v>382.29</v>
      </c>
      <c r="G35" s="88">
        <f>TRUNC((F35*E35),2)</f>
        <v>2293.7399999999998</v>
      </c>
      <c r="H35" s="287"/>
    </row>
    <row r="36" spans="1:8" x14ac:dyDescent="0.2">
      <c r="A36" s="284"/>
      <c r="B36" s="93"/>
      <c r="C36" s="94" t="s">
        <v>482</v>
      </c>
      <c r="D36" s="95"/>
      <c r="E36" s="95"/>
      <c r="F36" s="627"/>
      <c r="G36" s="96">
        <f>SUM(G31:G35)</f>
        <v>17986.82</v>
      </c>
      <c r="H36" s="287"/>
    </row>
    <row r="37" spans="1:8" x14ac:dyDescent="0.2">
      <c r="A37" s="284" t="s">
        <v>835</v>
      </c>
      <c r="B37" s="14" t="s">
        <v>483</v>
      </c>
      <c r="C37" s="77" t="s">
        <v>480</v>
      </c>
      <c r="D37" s="91"/>
      <c r="E37" s="91"/>
      <c r="F37" s="627"/>
      <c r="G37" s="91"/>
      <c r="H37" s="288"/>
    </row>
    <row r="38" spans="1:8" x14ac:dyDescent="0.2">
      <c r="A38" s="284" t="s">
        <v>648</v>
      </c>
      <c r="B38" s="50"/>
      <c r="C38" s="77" t="s">
        <v>40</v>
      </c>
      <c r="D38" s="50"/>
      <c r="E38" s="87"/>
      <c r="F38" s="627"/>
      <c r="G38" s="85"/>
      <c r="H38" s="289"/>
    </row>
    <row r="39" spans="1:8" x14ac:dyDescent="0.2">
      <c r="A39" s="284" t="s">
        <v>649</v>
      </c>
      <c r="B39" s="50"/>
      <c r="C39" s="100" t="s">
        <v>232</v>
      </c>
      <c r="D39" s="97" t="s">
        <v>172</v>
      </c>
      <c r="E39" s="87">
        <v>2</v>
      </c>
      <c r="F39" s="627">
        <v>135.32</v>
      </c>
      <c r="G39" s="88">
        <f>TRUNC((F39*E39),2)</f>
        <v>270.64</v>
      </c>
      <c r="H39" s="289"/>
    </row>
    <row r="40" spans="1:8" x14ac:dyDescent="0.2">
      <c r="A40" s="284" t="s">
        <v>836</v>
      </c>
      <c r="B40" s="50"/>
      <c r="C40" s="77" t="s">
        <v>41</v>
      </c>
      <c r="D40" s="50"/>
      <c r="E40" s="87"/>
      <c r="F40" s="627"/>
      <c r="G40" s="85"/>
      <c r="H40" s="289"/>
    </row>
    <row r="41" spans="1:8" x14ac:dyDescent="0.2">
      <c r="A41" s="284" t="s">
        <v>837</v>
      </c>
      <c r="B41" s="97"/>
      <c r="C41" s="100" t="s">
        <v>241</v>
      </c>
      <c r="D41" s="97" t="s">
        <v>111</v>
      </c>
      <c r="E41" s="87">
        <v>10.26</v>
      </c>
      <c r="F41" s="627">
        <v>32.979999999999997</v>
      </c>
      <c r="G41" s="88">
        <f>TRUNC((F41*E41),2)</f>
        <v>338.37</v>
      </c>
      <c r="H41" s="290"/>
    </row>
    <row r="42" spans="1:8" x14ac:dyDescent="0.2">
      <c r="A42" s="284" t="s">
        <v>838</v>
      </c>
      <c r="B42" s="97"/>
      <c r="C42" s="100" t="s">
        <v>242</v>
      </c>
      <c r="D42" s="97" t="s">
        <v>172</v>
      </c>
      <c r="E42" s="87">
        <v>9</v>
      </c>
      <c r="F42" s="627">
        <v>343.89</v>
      </c>
      <c r="G42" s="88">
        <f>TRUNC((F42*E42),2)</f>
        <v>3095.01</v>
      </c>
      <c r="H42" s="290"/>
    </row>
    <row r="43" spans="1:8" x14ac:dyDescent="0.2">
      <c r="A43" s="284" t="s">
        <v>839</v>
      </c>
      <c r="B43" s="50"/>
      <c r="C43" s="77" t="s">
        <v>42</v>
      </c>
      <c r="D43" s="50"/>
      <c r="E43" s="87"/>
      <c r="F43" s="627"/>
      <c r="G43" s="96">
        <f>SUM(G39:G42)</f>
        <v>3704.0200000000004</v>
      </c>
      <c r="H43" s="290"/>
    </row>
    <row r="44" spans="1:8" x14ac:dyDescent="0.2">
      <c r="A44" s="284" t="s">
        <v>840</v>
      </c>
      <c r="B44" s="50"/>
      <c r="C44" s="100" t="s">
        <v>233</v>
      </c>
      <c r="D44" s="50" t="s">
        <v>234</v>
      </c>
      <c r="E44" s="87">
        <v>5</v>
      </c>
      <c r="F44" s="627">
        <v>253.73</v>
      </c>
      <c r="G44" s="88">
        <f>TRUNC((F44*E44),2)</f>
        <v>1268.6500000000001</v>
      </c>
      <c r="H44" s="289"/>
    </row>
    <row r="45" spans="1:8" ht="13.5" thickBot="1" x14ac:dyDescent="0.25">
      <c r="A45" s="303" t="s">
        <v>841</v>
      </c>
      <c r="B45" s="304"/>
      <c r="C45" s="305" t="s">
        <v>264</v>
      </c>
      <c r="D45" s="304" t="s">
        <v>234</v>
      </c>
      <c r="E45" s="306">
        <v>1</v>
      </c>
      <c r="F45" s="628">
        <v>548.07000000000005</v>
      </c>
      <c r="G45" s="307">
        <f>TRUNC((F45*E45),2)</f>
        <v>548.07000000000005</v>
      </c>
      <c r="H45" s="308"/>
    </row>
    <row r="46" spans="1:8" x14ac:dyDescent="0.2">
      <c r="A46" s="276" t="s">
        <v>842</v>
      </c>
      <c r="B46" s="309"/>
      <c r="C46" s="310" t="s">
        <v>615</v>
      </c>
      <c r="D46" s="309" t="s">
        <v>111</v>
      </c>
      <c r="E46" s="280">
        <f>6*2.1</f>
        <v>12.600000000000001</v>
      </c>
      <c r="F46" s="629">
        <v>262.2</v>
      </c>
      <c r="G46" s="282">
        <f>TRUNC((F46*E46),2)</f>
        <v>3303.72</v>
      </c>
      <c r="H46" s="311"/>
    </row>
    <row r="47" spans="1:8" x14ac:dyDescent="0.2">
      <c r="A47" s="284"/>
      <c r="B47" s="93"/>
      <c r="C47" s="94" t="s">
        <v>484</v>
      </c>
      <c r="D47" s="95"/>
      <c r="E47" s="95"/>
      <c r="F47" s="627"/>
      <c r="G47" s="96">
        <f>SUM(G44:G46)</f>
        <v>5120.4400000000005</v>
      </c>
      <c r="H47" s="287">
        <f>SUM(G36+G43+G47)</f>
        <v>26811.279999999999</v>
      </c>
    </row>
    <row r="48" spans="1:8" x14ac:dyDescent="0.2">
      <c r="A48" s="284" t="s">
        <v>843</v>
      </c>
      <c r="B48" s="14" t="s">
        <v>485</v>
      </c>
      <c r="C48" s="77" t="s">
        <v>43</v>
      </c>
      <c r="D48" s="91"/>
      <c r="E48" s="91"/>
      <c r="F48" s="627"/>
      <c r="G48" s="91"/>
      <c r="H48" s="289"/>
    </row>
    <row r="49" spans="1:8" x14ac:dyDescent="0.2">
      <c r="A49" s="284" t="s">
        <v>844</v>
      </c>
      <c r="B49" s="50"/>
      <c r="C49" s="92" t="s">
        <v>552</v>
      </c>
      <c r="D49" s="50" t="s">
        <v>111</v>
      </c>
      <c r="E49" s="87">
        <v>13.8</v>
      </c>
      <c r="F49" s="627">
        <v>507.47</v>
      </c>
      <c r="G49" s="85">
        <f>E49*F49</f>
        <v>7003.0860000000011</v>
      </c>
      <c r="H49" s="289"/>
    </row>
    <row r="50" spans="1:8" x14ac:dyDescent="0.2">
      <c r="A50" s="284" t="s">
        <v>845</v>
      </c>
      <c r="B50" s="50"/>
      <c r="C50" s="92" t="s">
        <v>259</v>
      </c>
      <c r="D50" s="50" t="s">
        <v>111</v>
      </c>
      <c r="E50" s="87">
        <v>7</v>
      </c>
      <c r="F50" s="627">
        <v>377.49</v>
      </c>
      <c r="G50" s="85">
        <f>E50*F50</f>
        <v>2642.4300000000003</v>
      </c>
      <c r="H50" s="289"/>
    </row>
    <row r="51" spans="1:8" x14ac:dyDescent="0.2">
      <c r="A51" s="284"/>
      <c r="B51" s="93"/>
      <c r="C51" s="94" t="s">
        <v>486</v>
      </c>
      <c r="D51" s="95"/>
      <c r="E51" s="95"/>
      <c r="F51" s="627"/>
      <c r="G51" s="96">
        <f>SUM(G49:G50)</f>
        <v>9645.5160000000014</v>
      </c>
      <c r="H51" s="287">
        <f>SUM(G51)</f>
        <v>9645.5160000000014</v>
      </c>
    </row>
    <row r="52" spans="1:8" x14ac:dyDescent="0.2">
      <c r="A52" s="284" t="s">
        <v>636</v>
      </c>
      <c r="B52" s="14" t="s">
        <v>487</v>
      </c>
      <c r="C52" s="77" t="s">
        <v>44</v>
      </c>
      <c r="D52" s="91"/>
      <c r="E52" s="91"/>
      <c r="F52" s="627"/>
      <c r="G52" s="91"/>
      <c r="H52" s="289"/>
    </row>
    <row r="53" spans="1:8" x14ac:dyDescent="0.2">
      <c r="A53" s="284" t="s">
        <v>638</v>
      </c>
      <c r="B53" s="50"/>
      <c r="C53" s="92" t="s">
        <v>45</v>
      </c>
      <c r="D53" s="50" t="s">
        <v>111</v>
      </c>
      <c r="E53" s="87">
        <v>381.53</v>
      </c>
      <c r="F53" s="627">
        <v>69.44</v>
      </c>
      <c r="G53" s="85">
        <f>E53*F53</f>
        <v>26493.443199999998</v>
      </c>
      <c r="H53" s="289"/>
    </row>
    <row r="54" spans="1:8" x14ac:dyDescent="0.2">
      <c r="A54" s="284" t="s">
        <v>639</v>
      </c>
      <c r="B54" s="50"/>
      <c r="C54" s="92" t="s">
        <v>616</v>
      </c>
      <c r="D54" s="50" t="s">
        <v>111</v>
      </c>
      <c r="E54" s="87">
        <v>379.43</v>
      </c>
      <c r="F54" s="627">
        <v>56.97</v>
      </c>
      <c r="G54" s="85">
        <f>E54*F54</f>
        <v>21616.127100000002</v>
      </c>
      <c r="H54" s="289"/>
    </row>
    <row r="55" spans="1:8" x14ac:dyDescent="0.2">
      <c r="A55" s="284" t="s">
        <v>846</v>
      </c>
      <c r="B55" s="50"/>
      <c r="C55" s="92" t="s">
        <v>617</v>
      </c>
      <c r="D55" s="50" t="s">
        <v>111</v>
      </c>
      <c r="E55" s="87">
        <v>7</v>
      </c>
      <c r="F55" s="627">
        <v>668.17</v>
      </c>
      <c r="G55" s="85">
        <f>E55*F55</f>
        <v>4677.1899999999996</v>
      </c>
      <c r="H55" s="289"/>
    </row>
    <row r="56" spans="1:8" x14ac:dyDescent="0.2">
      <c r="A56" s="284" t="s">
        <v>847</v>
      </c>
      <c r="B56" s="50"/>
      <c r="C56" s="92" t="s">
        <v>46</v>
      </c>
      <c r="D56" s="50" t="s">
        <v>160</v>
      </c>
      <c r="E56" s="87">
        <v>61.99</v>
      </c>
      <c r="F56" s="627">
        <v>16.41</v>
      </c>
      <c r="G56" s="85">
        <f>E56*F56</f>
        <v>1017.2559</v>
      </c>
      <c r="H56" s="289"/>
    </row>
    <row r="57" spans="1:8" x14ac:dyDescent="0.2">
      <c r="A57" s="284" t="s">
        <v>848</v>
      </c>
      <c r="B57" s="50"/>
      <c r="C57" s="92" t="s">
        <v>414</v>
      </c>
      <c r="D57" s="50" t="s">
        <v>160</v>
      </c>
      <c r="E57" s="87">
        <f>107*0.5</f>
        <v>53.5</v>
      </c>
      <c r="F57" s="627">
        <v>17.25</v>
      </c>
      <c r="G57" s="85">
        <f>E57*F57</f>
        <v>922.875</v>
      </c>
      <c r="H57" s="289"/>
    </row>
    <row r="58" spans="1:8" x14ac:dyDescent="0.2">
      <c r="A58" s="284"/>
      <c r="B58" s="86"/>
      <c r="C58" s="94" t="s">
        <v>488</v>
      </c>
      <c r="D58" s="95"/>
      <c r="E58" s="95"/>
      <c r="F58" s="627"/>
      <c r="G58" s="96">
        <f>SUM(G53:G57)</f>
        <v>54726.891199999998</v>
      </c>
      <c r="H58" s="287">
        <f>SUM(G58)</f>
        <v>54726.891199999998</v>
      </c>
    </row>
    <row r="59" spans="1:8" x14ac:dyDescent="0.2">
      <c r="A59" s="284" t="s">
        <v>640</v>
      </c>
      <c r="B59" s="14" t="s">
        <v>489</v>
      </c>
      <c r="C59" s="77" t="s">
        <v>47</v>
      </c>
      <c r="D59" s="91"/>
      <c r="E59" s="91"/>
      <c r="F59" s="627"/>
      <c r="G59" s="91"/>
      <c r="H59" s="289"/>
    </row>
    <row r="60" spans="1:8" x14ac:dyDescent="0.2">
      <c r="A60" s="284" t="s">
        <v>849</v>
      </c>
      <c r="B60" s="101"/>
      <c r="C60" s="99" t="s">
        <v>48</v>
      </c>
      <c r="D60" s="50" t="s">
        <v>111</v>
      </c>
      <c r="E60" s="87">
        <v>77</v>
      </c>
      <c r="F60" s="627">
        <v>20.29</v>
      </c>
      <c r="G60" s="85">
        <f>E60*F60</f>
        <v>1562.33</v>
      </c>
      <c r="H60" s="289"/>
    </row>
    <row r="61" spans="1:8" x14ac:dyDescent="0.2">
      <c r="A61" s="284" t="s">
        <v>850</v>
      </c>
      <c r="B61" s="101"/>
      <c r="C61" s="99" t="s">
        <v>521</v>
      </c>
      <c r="D61" s="50" t="s">
        <v>111</v>
      </c>
      <c r="E61" s="87">
        <v>105</v>
      </c>
      <c r="F61" s="627">
        <v>20.29</v>
      </c>
      <c r="G61" s="85">
        <f>E61*F61</f>
        <v>2130.4499999999998</v>
      </c>
      <c r="H61" s="289"/>
    </row>
    <row r="62" spans="1:8" x14ac:dyDescent="0.2">
      <c r="A62" s="284"/>
      <c r="B62" s="93"/>
      <c r="C62" s="94" t="s">
        <v>490</v>
      </c>
      <c r="D62" s="95"/>
      <c r="E62" s="95"/>
      <c r="F62" s="627"/>
      <c r="G62" s="96">
        <f>SUM(G60:G61)</f>
        <v>3692.7799999999997</v>
      </c>
      <c r="H62" s="287">
        <f>SUM(G62)</f>
        <v>3692.7799999999997</v>
      </c>
    </row>
    <row r="63" spans="1:8" x14ac:dyDescent="0.2">
      <c r="A63" s="284" t="s">
        <v>676</v>
      </c>
      <c r="B63" s="14" t="s">
        <v>491</v>
      </c>
      <c r="C63" s="77" t="s">
        <v>492</v>
      </c>
      <c r="D63" s="77"/>
      <c r="E63" s="77"/>
      <c r="F63" s="627"/>
      <c r="G63" s="77"/>
      <c r="H63" s="289"/>
    </row>
    <row r="64" spans="1:8" x14ac:dyDescent="0.2">
      <c r="A64" s="284" t="s">
        <v>677</v>
      </c>
      <c r="B64" s="14" t="s">
        <v>494</v>
      </c>
      <c r="C64" s="77" t="s">
        <v>493</v>
      </c>
      <c r="D64" s="77"/>
      <c r="E64" s="77"/>
      <c r="F64" s="627"/>
      <c r="G64" s="77"/>
      <c r="H64" s="289"/>
    </row>
    <row r="65" spans="1:8" x14ac:dyDescent="0.2">
      <c r="A65" s="284" t="s">
        <v>851</v>
      </c>
      <c r="B65" s="50"/>
      <c r="C65" s="98" t="s">
        <v>49</v>
      </c>
      <c r="D65" s="50"/>
      <c r="E65" s="87"/>
      <c r="F65" s="627"/>
      <c r="G65" s="85"/>
      <c r="H65" s="289"/>
    </row>
    <row r="66" spans="1:8" x14ac:dyDescent="0.2">
      <c r="A66" s="284" t="s">
        <v>852</v>
      </c>
      <c r="B66" s="50"/>
      <c r="C66" s="92" t="s">
        <v>50</v>
      </c>
      <c r="D66" s="50" t="s">
        <v>111</v>
      </c>
      <c r="E66" s="87">
        <v>959.21</v>
      </c>
      <c r="F66" s="627">
        <v>30.74</v>
      </c>
      <c r="G66" s="85">
        <f>E66*F66</f>
        <v>29486.115399999999</v>
      </c>
      <c r="H66" s="289"/>
    </row>
    <row r="67" spans="1:8" x14ac:dyDescent="0.2">
      <c r="A67" s="284" t="s">
        <v>853</v>
      </c>
      <c r="B67" s="50"/>
      <c r="C67" s="92" t="s">
        <v>51</v>
      </c>
      <c r="D67" s="50" t="s">
        <v>111</v>
      </c>
      <c r="E67" s="87">
        <v>959.21</v>
      </c>
      <c r="F67" s="627">
        <v>6.8</v>
      </c>
      <c r="G67" s="85">
        <f>E67*F67</f>
        <v>6522.6279999999997</v>
      </c>
      <c r="H67" s="289"/>
    </row>
    <row r="68" spans="1:8" x14ac:dyDescent="0.2">
      <c r="A68" s="284"/>
      <c r="B68" s="93"/>
      <c r="C68" s="94" t="s">
        <v>496</v>
      </c>
      <c r="D68" s="95"/>
      <c r="E68" s="95"/>
      <c r="F68" s="627"/>
      <c r="G68" s="96">
        <f>SUM(G66:G67)</f>
        <v>36008.743399999999</v>
      </c>
      <c r="H68" s="289"/>
    </row>
    <row r="69" spans="1:8" x14ac:dyDescent="0.2">
      <c r="A69" s="284" t="s">
        <v>764</v>
      </c>
      <c r="B69" s="14" t="s">
        <v>497</v>
      </c>
      <c r="C69" s="77" t="s">
        <v>495</v>
      </c>
      <c r="D69" s="91"/>
      <c r="E69" s="91"/>
      <c r="F69" s="627"/>
      <c r="G69" s="91"/>
      <c r="H69" s="289"/>
    </row>
    <row r="70" spans="1:8" x14ac:dyDescent="0.2">
      <c r="A70" s="284" t="s">
        <v>854</v>
      </c>
      <c r="B70" s="50"/>
      <c r="C70" s="98" t="s">
        <v>54</v>
      </c>
      <c r="D70" s="50"/>
      <c r="E70" s="87"/>
      <c r="F70" s="627"/>
      <c r="G70" s="85"/>
      <c r="H70" s="289"/>
    </row>
    <row r="71" spans="1:8" x14ac:dyDescent="0.2">
      <c r="A71" s="284" t="s">
        <v>855</v>
      </c>
      <c r="B71" s="50"/>
      <c r="C71" s="92" t="s">
        <v>55</v>
      </c>
      <c r="D71" s="50" t="s">
        <v>111</v>
      </c>
      <c r="E71" s="87">
        <v>460.27</v>
      </c>
      <c r="F71" s="627">
        <v>24.8</v>
      </c>
      <c r="G71" s="85">
        <f>E71*F71</f>
        <v>11414.696</v>
      </c>
      <c r="H71" s="289"/>
    </row>
    <row r="72" spans="1:8" x14ac:dyDescent="0.2">
      <c r="A72" s="284" t="s">
        <v>856</v>
      </c>
      <c r="B72" s="50"/>
      <c r="C72" s="92" t="s">
        <v>56</v>
      </c>
      <c r="D72" s="50" t="s">
        <v>111</v>
      </c>
      <c r="E72" s="87">
        <v>460.27</v>
      </c>
      <c r="F72" s="627">
        <v>6.8</v>
      </c>
      <c r="G72" s="85">
        <f>E72*F72</f>
        <v>3129.8359999999998</v>
      </c>
      <c r="H72" s="289"/>
    </row>
    <row r="73" spans="1:8" x14ac:dyDescent="0.2">
      <c r="A73" s="284"/>
      <c r="B73" s="93"/>
      <c r="C73" s="94" t="s">
        <v>498</v>
      </c>
      <c r="D73" s="95"/>
      <c r="E73" s="95"/>
      <c r="F73" s="627"/>
      <c r="G73" s="96">
        <f>SUM(G71:G72)</f>
        <v>14544.531999999999</v>
      </c>
      <c r="H73" s="287">
        <f>SUM(G68+G73)</f>
        <v>50553.275399999999</v>
      </c>
    </row>
    <row r="74" spans="1:8" x14ac:dyDescent="0.2">
      <c r="A74" s="284" t="s">
        <v>765</v>
      </c>
      <c r="B74" s="14" t="s">
        <v>499</v>
      </c>
      <c r="C74" s="77" t="s">
        <v>57</v>
      </c>
      <c r="D74" s="91"/>
      <c r="E74" s="91"/>
      <c r="F74" s="627"/>
      <c r="G74" s="91"/>
      <c r="H74" s="289"/>
    </row>
    <row r="75" spans="1:8" x14ac:dyDescent="0.2">
      <c r="A75" s="284" t="s">
        <v>857</v>
      </c>
      <c r="B75" s="50"/>
      <c r="C75" s="92" t="s">
        <v>58</v>
      </c>
      <c r="D75" s="50" t="s">
        <v>111</v>
      </c>
      <c r="E75" s="87">
        <f>140+74+10</f>
        <v>224</v>
      </c>
      <c r="F75" s="627">
        <v>64.959999999999994</v>
      </c>
      <c r="G75" s="85">
        <f>E75*F75</f>
        <v>14551.039999999999</v>
      </c>
      <c r="H75" s="289"/>
    </row>
    <row r="76" spans="1:8" x14ac:dyDescent="0.2">
      <c r="A76" s="284" t="s">
        <v>858</v>
      </c>
      <c r="B76" s="50"/>
      <c r="C76" s="92" t="s">
        <v>144</v>
      </c>
      <c r="D76" s="50" t="s">
        <v>111</v>
      </c>
      <c r="E76" s="87">
        <f>36</f>
        <v>36</v>
      </c>
      <c r="F76" s="627">
        <v>56.97</v>
      </c>
      <c r="G76" s="85">
        <f>E76*F76</f>
        <v>2050.92</v>
      </c>
      <c r="H76" s="289"/>
    </row>
    <row r="77" spans="1:8" x14ac:dyDescent="0.2">
      <c r="A77" s="284" t="s">
        <v>859</v>
      </c>
      <c r="B77" s="50"/>
      <c r="C77" s="92" t="s">
        <v>145</v>
      </c>
      <c r="D77" s="50" t="s">
        <v>111</v>
      </c>
      <c r="E77" s="87">
        <f>E76</f>
        <v>36</v>
      </c>
      <c r="F77" s="627">
        <v>3.38</v>
      </c>
      <c r="G77" s="85">
        <f>E77*F77</f>
        <v>121.67999999999999</v>
      </c>
      <c r="H77" s="289"/>
    </row>
    <row r="78" spans="1:8" x14ac:dyDescent="0.2">
      <c r="A78" s="284" t="s">
        <v>860</v>
      </c>
      <c r="B78" s="50"/>
      <c r="C78" s="92" t="s">
        <v>59</v>
      </c>
      <c r="D78" s="50" t="s">
        <v>160</v>
      </c>
      <c r="E78" s="87">
        <v>55</v>
      </c>
      <c r="F78" s="627">
        <v>160.69999999999999</v>
      </c>
      <c r="G78" s="85">
        <f>E78*F78</f>
        <v>8838.5</v>
      </c>
      <c r="H78" s="289"/>
    </row>
    <row r="79" spans="1:8" x14ac:dyDescent="0.2">
      <c r="A79" s="284"/>
      <c r="B79" s="93"/>
      <c r="C79" s="94" t="s">
        <v>500</v>
      </c>
      <c r="D79" s="95"/>
      <c r="E79" s="95"/>
      <c r="F79" s="627"/>
      <c r="G79" s="96">
        <f>SUM(G75:G78)</f>
        <v>25562.14</v>
      </c>
      <c r="H79" s="287">
        <f>SUM(G79)</f>
        <v>25562.14</v>
      </c>
    </row>
    <row r="80" spans="1:8" x14ac:dyDescent="0.2">
      <c r="A80" s="284" t="s">
        <v>678</v>
      </c>
      <c r="B80" s="14" t="s">
        <v>501</v>
      </c>
      <c r="C80" s="77" t="s">
        <v>60</v>
      </c>
      <c r="D80" s="91"/>
      <c r="E80" s="91"/>
      <c r="F80" s="627"/>
      <c r="G80" s="91"/>
      <c r="H80" s="289"/>
    </row>
    <row r="81" spans="1:8" x14ac:dyDescent="0.2">
      <c r="A81" s="284" t="s">
        <v>679</v>
      </c>
      <c r="B81" s="50"/>
      <c r="C81" s="92" t="s">
        <v>61</v>
      </c>
      <c r="D81" s="50" t="s">
        <v>160</v>
      </c>
      <c r="E81" s="87">
        <v>32.799999999999997</v>
      </c>
      <c r="F81" s="627">
        <v>43.3</v>
      </c>
      <c r="G81" s="85">
        <f>E81*F81</f>
        <v>1420.2399999999998</v>
      </c>
      <c r="H81" s="289"/>
    </row>
    <row r="82" spans="1:8" x14ac:dyDescent="0.2">
      <c r="A82" s="284" t="s">
        <v>680</v>
      </c>
      <c r="B82" s="50"/>
      <c r="C82" s="92" t="s">
        <v>146</v>
      </c>
      <c r="D82" s="50" t="s">
        <v>160</v>
      </c>
      <c r="E82" s="87">
        <f>E84+100</f>
        <v>648</v>
      </c>
      <c r="F82" s="627">
        <v>11.84</v>
      </c>
      <c r="G82" s="85">
        <f>E82*F82</f>
        <v>7672.32</v>
      </c>
      <c r="H82" s="289"/>
    </row>
    <row r="83" spans="1:8" x14ac:dyDescent="0.2">
      <c r="A83" s="284" t="s">
        <v>787</v>
      </c>
      <c r="B83" s="50"/>
      <c r="C83" s="92" t="s">
        <v>62</v>
      </c>
      <c r="D83" s="50" t="s">
        <v>160</v>
      </c>
      <c r="E83" s="87">
        <f>E85+100</f>
        <v>100</v>
      </c>
      <c r="F83" s="627">
        <v>0.53</v>
      </c>
      <c r="G83" s="85">
        <f>E83*F83</f>
        <v>53</v>
      </c>
      <c r="H83" s="289"/>
    </row>
    <row r="84" spans="1:8" x14ac:dyDescent="0.2">
      <c r="A84" s="284" t="s">
        <v>788</v>
      </c>
      <c r="B84" s="50"/>
      <c r="C84" s="92" t="s">
        <v>63</v>
      </c>
      <c r="D84" s="50" t="s">
        <v>160</v>
      </c>
      <c r="E84" s="87">
        <f>4*(26+7+17)+(19+8+12)*2+(50+23+21+20+14+14+17+28+17+13+23)+(16+14)</f>
        <v>548</v>
      </c>
      <c r="F84" s="627">
        <v>9.81</v>
      </c>
      <c r="G84" s="85">
        <f>E84*F84</f>
        <v>5375.88</v>
      </c>
      <c r="H84" s="289"/>
    </row>
    <row r="85" spans="1:8" x14ac:dyDescent="0.2">
      <c r="A85" s="284"/>
      <c r="B85" s="93"/>
      <c r="C85" s="94" t="s">
        <v>502</v>
      </c>
      <c r="D85" s="95"/>
      <c r="E85" s="95"/>
      <c r="F85" s="627"/>
      <c r="G85" s="96">
        <f>SUM(G81:G84)</f>
        <v>14521.439999999999</v>
      </c>
      <c r="H85" s="287">
        <f>SUM(G85)</f>
        <v>14521.439999999999</v>
      </c>
    </row>
    <row r="86" spans="1:8" x14ac:dyDescent="0.2">
      <c r="A86" s="284" t="s">
        <v>681</v>
      </c>
      <c r="B86" s="14" t="s">
        <v>503</v>
      </c>
      <c r="C86" s="77" t="s">
        <v>64</v>
      </c>
      <c r="D86" s="91"/>
      <c r="E86" s="91"/>
      <c r="F86" s="627"/>
      <c r="G86" s="91"/>
      <c r="H86" s="289"/>
    </row>
    <row r="87" spans="1:8" x14ac:dyDescent="0.2">
      <c r="A87" s="284" t="s">
        <v>682</v>
      </c>
      <c r="B87" s="50"/>
      <c r="C87" s="77" t="s">
        <v>65</v>
      </c>
      <c r="D87" s="50"/>
      <c r="E87" s="87"/>
      <c r="F87" s="627"/>
      <c r="G87" s="85"/>
      <c r="H87" s="289"/>
    </row>
    <row r="88" spans="1:8" x14ac:dyDescent="0.2">
      <c r="A88" s="284" t="s">
        <v>861</v>
      </c>
      <c r="B88" s="50"/>
      <c r="C88" s="92" t="s">
        <v>66</v>
      </c>
      <c r="D88" s="50" t="s">
        <v>111</v>
      </c>
      <c r="E88" s="87">
        <v>164.78</v>
      </c>
      <c r="F88" s="627">
        <v>15.31</v>
      </c>
      <c r="G88" s="85">
        <f>E88*F88</f>
        <v>2522.7818000000002</v>
      </c>
      <c r="H88" s="289"/>
    </row>
    <row r="89" spans="1:8" x14ac:dyDescent="0.2">
      <c r="A89" s="284"/>
      <c r="B89" s="50"/>
      <c r="C89" s="98" t="s">
        <v>67</v>
      </c>
      <c r="D89" s="50" t="s">
        <v>111</v>
      </c>
      <c r="E89" s="87">
        <v>77.295000000000002</v>
      </c>
      <c r="F89" s="627">
        <v>8.89</v>
      </c>
      <c r="G89" s="85">
        <f>E89*F89</f>
        <v>687.15255000000002</v>
      </c>
      <c r="H89" s="289"/>
    </row>
    <row r="90" spans="1:8" ht="13.5" thickBot="1" x14ac:dyDescent="0.25">
      <c r="A90" s="303" t="s">
        <v>862</v>
      </c>
      <c r="B90" s="304"/>
      <c r="C90" s="312" t="s">
        <v>68</v>
      </c>
      <c r="D90" s="304"/>
      <c r="E90" s="306"/>
      <c r="F90" s="628"/>
      <c r="G90" s="313"/>
      <c r="H90" s="308"/>
    </row>
    <row r="91" spans="1:8" x14ac:dyDescent="0.2">
      <c r="A91" s="276" t="s">
        <v>863</v>
      </c>
      <c r="B91" s="309"/>
      <c r="C91" s="318" t="s">
        <v>618</v>
      </c>
      <c r="D91" s="309" t="s">
        <v>111</v>
      </c>
      <c r="E91" s="280">
        <v>606.17999999999995</v>
      </c>
      <c r="F91" s="629">
        <v>9.61</v>
      </c>
      <c r="G91" s="281">
        <f>E91*F91</f>
        <v>5825.389799999999</v>
      </c>
      <c r="H91" s="311"/>
    </row>
    <row r="92" spans="1:8" x14ac:dyDescent="0.2">
      <c r="A92" s="284" t="s">
        <v>864</v>
      </c>
      <c r="B92" s="50"/>
      <c r="C92" s="98" t="s">
        <v>52</v>
      </c>
      <c r="D92" s="50"/>
      <c r="E92" s="87"/>
      <c r="F92" s="627"/>
      <c r="G92" s="85"/>
      <c r="H92" s="289"/>
    </row>
    <row r="93" spans="1:8" x14ac:dyDescent="0.2">
      <c r="A93" s="284" t="s">
        <v>865</v>
      </c>
      <c r="B93" s="50"/>
      <c r="C93" s="92" t="s">
        <v>69</v>
      </c>
      <c r="D93" s="50" t="s">
        <v>111</v>
      </c>
      <c r="E93" s="87">
        <v>236.98</v>
      </c>
      <c r="F93" s="627">
        <v>14.6</v>
      </c>
      <c r="G93" s="85">
        <f>E93*F93</f>
        <v>3459.9079999999999</v>
      </c>
      <c r="H93" s="289"/>
    </row>
    <row r="94" spans="1:8" x14ac:dyDescent="0.2">
      <c r="A94" s="284" t="s">
        <v>866</v>
      </c>
      <c r="B94" s="50"/>
      <c r="C94" s="98" t="s">
        <v>70</v>
      </c>
      <c r="D94" s="50"/>
      <c r="E94" s="87"/>
      <c r="F94" s="627"/>
      <c r="G94" s="85"/>
      <c r="H94" s="289"/>
    </row>
    <row r="95" spans="1:8" x14ac:dyDescent="0.2">
      <c r="A95" s="284" t="s">
        <v>867</v>
      </c>
      <c r="B95" s="50"/>
      <c r="C95" s="92" t="s">
        <v>0</v>
      </c>
      <c r="D95" s="50" t="s">
        <v>111</v>
      </c>
      <c r="E95" s="87">
        <v>257.60000000000002</v>
      </c>
      <c r="F95" s="627">
        <v>16.03</v>
      </c>
      <c r="G95" s="85">
        <f>E95*F95</f>
        <v>4129.3280000000004</v>
      </c>
      <c r="H95" s="289"/>
    </row>
    <row r="96" spans="1:8" x14ac:dyDescent="0.2">
      <c r="A96" s="284" t="s">
        <v>868</v>
      </c>
      <c r="B96" s="50"/>
      <c r="C96" s="92" t="s">
        <v>1</v>
      </c>
      <c r="D96" s="50" t="s">
        <v>111</v>
      </c>
      <c r="E96" s="87">
        <v>54.8</v>
      </c>
      <c r="F96" s="627">
        <v>8</v>
      </c>
      <c r="G96" s="85">
        <f>E96*F96</f>
        <v>438.4</v>
      </c>
      <c r="H96" s="289"/>
    </row>
    <row r="97" spans="1:8" x14ac:dyDescent="0.2">
      <c r="A97" s="284" t="s">
        <v>869</v>
      </c>
      <c r="B97" s="50"/>
      <c r="C97" s="92" t="s">
        <v>2</v>
      </c>
      <c r="D97" s="50" t="s">
        <v>111</v>
      </c>
      <c r="E97" s="87">
        <v>170.5</v>
      </c>
      <c r="F97" s="627">
        <v>16.03</v>
      </c>
      <c r="G97" s="85">
        <f>E97*F97</f>
        <v>2733.1150000000002</v>
      </c>
      <c r="H97" s="289"/>
    </row>
    <row r="98" spans="1:8" x14ac:dyDescent="0.2">
      <c r="A98" s="284"/>
      <c r="B98" s="93"/>
      <c r="C98" s="94" t="s">
        <v>504</v>
      </c>
      <c r="D98" s="95"/>
      <c r="E98" s="95"/>
      <c r="F98" s="627"/>
      <c r="G98" s="96">
        <f>SUM(G88:G97)</f>
        <v>19796.075150000004</v>
      </c>
      <c r="H98" s="287">
        <f>SUM(G98)</f>
        <v>19796.075150000004</v>
      </c>
    </row>
    <row r="99" spans="1:8" x14ac:dyDescent="0.2">
      <c r="A99" s="284" t="s">
        <v>683</v>
      </c>
      <c r="B99" s="79" t="s">
        <v>349</v>
      </c>
      <c r="C99" s="16" t="s">
        <v>350</v>
      </c>
      <c r="D99" s="63"/>
      <c r="E99" s="87"/>
      <c r="F99" s="627"/>
      <c r="G99" s="87"/>
      <c r="H99" s="286"/>
    </row>
    <row r="100" spans="1:8" x14ac:dyDescent="0.2">
      <c r="A100" s="284" t="s">
        <v>684</v>
      </c>
      <c r="B100" s="79" t="s">
        <v>351</v>
      </c>
      <c r="C100" s="16" t="s">
        <v>352</v>
      </c>
      <c r="D100" s="63"/>
      <c r="E100" s="87"/>
      <c r="F100" s="627"/>
      <c r="G100" s="87"/>
      <c r="H100" s="286"/>
    </row>
    <row r="101" spans="1:8" x14ac:dyDescent="0.2">
      <c r="A101" s="284" t="s">
        <v>790</v>
      </c>
      <c r="B101" s="79" t="s">
        <v>435</v>
      </c>
      <c r="C101" s="80" t="s">
        <v>436</v>
      </c>
      <c r="D101" s="86"/>
      <c r="E101" s="88"/>
      <c r="F101" s="627"/>
      <c r="G101" s="88"/>
      <c r="H101" s="286"/>
    </row>
    <row r="102" spans="1:8" x14ac:dyDescent="0.2">
      <c r="A102" s="284" t="s">
        <v>870</v>
      </c>
      <c r="B102" s="102"/>
      <c r="C102" s="103" t="s">
        <v>553</v>
      </c>
      <c r="D102" s="86" t="s">
        <v>172</v>
      </c>
      <c r="E102" s="88">
        <v>1</v>
      </c>
      <c r="F102" s="627">
        <v>160.69999999999999</v>
      </c>
      <c r="G102" s="88">
        <f>F102*E102</f>
        <v>160.69999999999999</v>
      </c>
      <c r="H102" s="286"/>
    </row>
    <row r="103" spans="1:8" x14ac:dyDescent="0.2">
      <c r="A103" s="284" t="s">
        <v>871</v>
      </c>
      <c r="B103" s="102"/>
      <c r="C103" s="103" t="s">
        <v>554</v>
      </c>
      <c r="D103" s="86" t="s">
        <v>172</v>
      </c>
      <c r="E103" s="88">
        <v>3</v>
      </c>
      <c r="F103" s="627">
        <v>20.89</v>
      </c>
      <c r="G103" s="88">
        <f>F103*E103</f>
        <v>62.67</v>
      </c>
      <c r="H103" s="286"/>
    </row>
    <row r="104" spans="1:8" x14ac:dyDescent="0.2">
      <c r="A104" s="284"/>
      <c r="B104" s="89"/>
      <c r="C104" s="80" t="s">
        <v>125</v>
      </c>
      <c r="D104" s="76"/>
      <c r="E104" s="76"/>
      <c r="F104" s="627"/>
      <c r="G104" s="96">
        <f>SUM(G102:G103)</f>
        <v>223.37</v>
      </c>
      <c r="H104" s="286"/>
    </row>
    <row r="105" spans="1:8" x14ac:dyDescent="0.2">
      <c r="A105" s="284" t="s">
        <v>872</v>
      </c>
      <c r="B105" s="79" t="s">
        <v>440</v>
      </c>
      <c r="C105" s="80" t="s">
        <v>441</v>
      </c>
      <c r="D105" s="86"/>
      <c r="E105" s="88"/>
      <c r="F105" s="627"/>
      <c r="G105" s="88"/>
      <c r="H105" s="286"/>
    </row>
    <row r="106" spans="1:8" ht="38.25" x14ac:dyDescent="0.2">
      <c r="A106" s="284" t="s">
        <v>873</v>
      </c>
      <c r="B106" s="79"/>
      <c r="C106" s="103" t="s">
        <v>874</v>
      </c>
      <c r="D106" s="86" t="s">
        <v>172</v>
      </c>
      <c r="E106" s="88">
        <v>1</v>
      </c>
      <c r="F106" s="627">
        <v>1493.64</v>
      </c>
      <c r="G106" s="88">
        <f>F106*E106</f>
        <v>1493.64</v>
      </c>
      <c r="H106" s="286"/>
    </row>
    <row r="107" spans="1:8" x14ac:dyDescent="0.2">
      <c r="A107" s="284"/>
      <c r="B107" s="89"/>
      <c r="C107" s="80" t="s">
        <v>875</v>
      </c>
      <c r="D107" s="76"/>
      <c r="E107" s="76"/>
      <c r="F107" s="627"/>
      <c r="G107" s="96">
        <f>SUM(G106)</f>
        <v>1493.64</v>
      </c>
      <c r="H107" s="286"/>
    </row>
    <row r="108" spans="1:8" x14ac:dyDescent="0.2">
      <c r="A108" s="284" t="s">
        <v>876</v>
      </c>
      <c r="B108" s="79" t="s">
        <v>442</v>
      </c>
      <c r="C108" s="80" t="s">
        <v>443</v>
      </c>
      <c r="D108" s="86"/>
      <c r="E108" s="88"/>
      <c r="F108" s="627"/>
      <c r="G108" s="88"/>
      <c r="H108" s="286"/>
    </row>
    <row r="109" spans="1:8" ht="38.25" x14ac:dyDescent="0.2">
      <c r="A109" s="284" t="s">
        <v>877</v>
      </c>
      <c r="B109" s="79"/>
      <c r="C109" s="103" t="s">
        <v>555</v>
      </c>
      <c r="D109" s="86" t="s">
        <v>172</v>
      </c>
      <c r="E109" s="88">
        <f>2*0.5</f>
        <v>1</v>
      </c>
      <c r="F109" s="627">
        <v>532.85</v>
      </c>
      <c r="G109" s="88">
        <f>F109*E109</f>
        <v>532.85</v>
      </c>
      <c r="H109" s="286"/>
    </row>
    <row r="110" spans="1:8" x14ac:dyDescent="0.2">
      <c r="A110" s="284"/>
      <c r="B110" s="89"/>
      <c r="C110" s="80" t="s">
        <v>878</v>
      </c>
      <c r="D110" s="76"/>
      <c r="E110" s="76"/>
      <c r="F110" s="627"/>
      <c r="G110" s="96">
        <f>SUM(G109)</f>
        <v>532.85</v>
      </c>
      <c r="H110" s="286"/>
    </row>
    <row r="111" spans="1:8" x14ac:dyDescent="0.2">
      <c r="A111" s="284" t="s">
        <v>879</v>
      </c>
      <c r="B111" s="79" t="s">
        <v>444</v>
      </c>
      <c r="C111" s="80" t="s">
        <v>880</v>
      </c>
      <c r="D111" s="102"/>
      <c r="E111" s="88"/>
      <c r="F111" s="627"/>
      <c r="G111" s="88"/>
      <c r="H111" s="286"/>
    </row>
    <row r="112" spans="1:8" x14ac:dyDescent="0.2">
      <c r="A112" s="284" t="s">
        <v>881</v>
      </c>
      <c r="B112" s="102"/>
      <c r="C112" s="103" t="s">
        <v>556</v>
      </c>
      <c r="D112" s="102" t="s">
        <v>160</v>
      </c>
      <c r="E112" s="88">
        <v>160</v>
      </c>
      <c r="F112" s="627">
        <v>13.17</v>
      </c>
      <c r="G112" s="88">
        <f>F112*E112</f>
        <v>2107.1999999999998</v>
      </c>
      <c r="H112" s="286"/>
    </row>
    <row r="113" spans="1:8" ht="25.5" x14ac:dyDescent="0.2">
      <c r="A113" s="284" t="s">
        <v>882</v>
      </c>
      <c r="B113" s="102"/>
      <c r="C113" s="103" t="s">
        <v>445</v>
      </c>
      <c r="D113" s="102" t="s">
        <v>172</v>
      </c>
      <c r="E113" s="88">
        <v>25</v>
      </c>
      <c r="F113" s="627">
        <v>25.65</v>
      </c>
      <c r="G113" s="88">
        <f>F113*E113</f>
        <v>641.25</v>
      </c>
      <c r="H113" s="286"/>
    </row>
    <row r="114" spans="1:8" x14ac:dyDescent="0.2">
      <c r="A114" s="284" t="s">
        <v>883</v>
      </c>
      <c r="B114" s="102"/>
      <c r="C114" s="103" t="s">
        <v>884</v>
      </c>
      <c r="D114" s="102" t="s">
        <v>172</v>
      </c>
      <c r="E114" s="88">
        <v>800</v>
      </c>
      <c r="F114" s="627">
        <v>2.1800000000000002</v>
      </c>
      <c r="G114" s="88">
        <f>F114*E114</f>
        <v>1744.0000000000002</v>
      </c>
      <c r="H114" s="286"/>
    </row>
    <row r="115" spans="1:8" x14ac:dyDescent="0.2">
      <c r="A115" s="284" t="s">
        <v>885</v>
      </c>
      <c r="B115" s="102"/>
      <c r="C115" s="103" t="s">
        <v>886</v>
      </c>
      <c r="D115" s="102" t="s">
        <v>172</v>
      </c>
      <c r="E115" s="88">
        <v>120</v>
      </c>
      <c r="F115" s="627">
        <v>3.54</v>
      </c>
      <c r="G115" s="88">
        <f>F115*E115</f>
        <v>424.8</v>
      </c>
      <c r="H115" s="286"/>
    </row>
    <row r="116" spans="1:8" x14ac:dyDescent="0.2">
      <c r="A116" s="284"/>
      <c r="B116" s="89"/>
      <c r="C116" s="80" t="s">
        <v>887</v>
      </c>
      <c r="D116" s="76"/>
      <c r="E116" s="76"/>
      <c r="F116" s="627"/>
      <c r="G116" s="96">
        <f>SUM(G112:G115)</f>
        <v>4917.25</v>
      </c>
      <c r="H116" s="286"/>
    </row>
    <row r="117" spans="1:8" x14ac:dyDescent="0.2">
      <c r="A117" s="284" t="s">
        <v>888</v>
      </c>
      <c r="B117" s="79" t="s">
        <v>446</v>
      </c>
      <c r="C117" s="80" t="s">
        <v>447</v>
      </c>
      <c r="D117" s="102"/>
      <c r="E117" s="88"/>
      <c r="F117" s="627"/>
      <c r="G117" s="88"/>
      <c r="H117" s="286"/>
    </row>
    <row r="118" spans="1:8" ht="38.25" x14ac:dyDescent="0.2">
      <c r="A118" s="284" t="s">
        <v>889</v>
      </c>
      <c r="B118" s="79"/>
      <c r="C118" s="103" t="s">
        <v>448</v>
      </c>
      <c r="D118" s="102"/>
      <c r="E118" s="88"/>
      <c r="F118" s="627"/>
      <c r="G118" s="88"/>
      <c r="H118" s="286"/>
    </row>
    <row r="119" spans="1:8" x14ac:dyDescent="0.2">
      <c r="A119" s="284" t="s">
        <v>890</v>
      </c>
      <c r="B119" s="79"/>
      <c r="C119" s="103" t="s">
        <v>449</v>
      </c>
      <c r="D119" s="102" t="s">
        <v>160</v>
      </c>
      <c r="E119" s="88">
        <v>7100</v>
      </c>
      <c r="F119" s="627">
        <v>3.38</v>
      </c>
      <c r="G119" s="88">
        <f>F119*E119</f>
        <v>23998</v>
      </c>
      <c r="H119" s="286"/>
    </row>
    <row r="120" spans="1:8" x14ac:dyDescent="0.2">
      <c r="A120" s="284" t="s">
        <v>891</v>
      </c>
      <c r="B120" s="79"/>
      <c r="C120" s="103" t="s">
        <v>450</v>
      </c>
      <c r="D120" s="102" t="s">
        <v>160</v>
      </c>
      <c r="E120" s="88">
        <v>750</v>
      </c>
      <c r="F120" s="627">
        <v>4.9800000000000004</v>
      </c>
      <c r="G120" s="88">
        <f>F120*E120</f>
        <v>3735.0000000000005</v>
      </c>
      <c r="H120" s="286"/>
    </row>
    <row r="121" spans="1:8" x14ac:dyDescent="0.2">
      <c r="A121" s="284" t="s">
        <v>892</v>
      </c>
      <c r="B121" s="79"/>
      <c r="C121" s="103" t="s">
        <v>451</v>
      </c>
      <c r="D121" s="102" t="s">
        <v>160</v>
      </c>
      <c r="E121" s="88">
        <v>300</v>
      </c>
      <c r="F121" s="627">
        <v>6.58</v>
      </c>
      <c r="G121" s="88">
        <f>F121*E121</f>
        <v>1974</v>
      </c>
      <c r="H121" s="286"/>
    </row>
    <row r="122" spans="1:8" ht="38.25" x14ac:dyDescent="0.2">
      <c r="A122" s="284" t="s">
        <v>893</v>
      </c>
      <c r="B122" s="79"/>
      <c r="C122" s="103" t="s">
        <v>454</v>
      </c>
      <c r="D122" s="102"/>
      <c r="E122" s="88"/>
      <c r="F122" s="627"/>
      <c r="G122" s="88"/>
      <c r="H122" s="286"/>
    </row>
    <row r="123" spans="1:8" x14ac:dyDescent="0.2">
      <c r="A123" s="284" t="s">
        <v>894</v>
      </c>
      <c r="B123" s="79"/>
      <c r="C123" s="103" t="s">
        <v>451</v>
      </c>
      <c r="D123" s="102" t="s">
        <v>160</v>
      </c>
      <c r="E123" s="88">
        <v>400</v>
      </c>
      <c r="F123" s="627">
        <v>6.58</v>
      </c>
      <c r="G123" s="88">
        <f t="shared" ref="G123:G128" si="0">F123*E123</f>
        <v>2632</v>
      </c>
      <c r="H123" s="286"/>
    </row>
    <row r="124" spans="1:8" x14ac:dyDescent="0.2">
      <c r="A124" s="284" t="s">
        <v>895</v>
      </c>
      <c r="B124" s="79"/>
      <c r="C124" s="103" t="s">
        <v>590</v>
      </c>
      <c r="D124" s="102" t="s">
        <v>160</v>
      </c>
      <c r="E124" s="88">
        <v>100</v>
      </c>
      <c r="F124" s="627">
        <v>11.92</v>
      </c>
      <c r="G124" s="88">
        <f t="shared" si="0"/>
        <v>1192</v>
      </c>
      <c r="H124" s="286"/>
    </row>
    <row r="125" spans="1:8" x14ac:dyDescent="0.2">
      <c r="A125" s="284" t="s">
        <v>896</v>
      </c>
      <c r="B125" s="79"/>
      <c r="C125" s="103" t="s">
        <v>455</v>
      </c>
      <c r="D125" s="102" t="s">
        <v>160</v>
      </c>
      <c r="E125" s="88">
        <v>500</v>
      </c>
      <c r="F125" s="627">
        <v>16.829999999999998</v>
      </c>
      <c r="G125" s="88">
        <f t="shared" si="0"/>
        <v>8415</v>
      </c>
      <c r="H125" s="286"/>
    </row>
    <row r="126" spans="1:8" ht="13.5" thickBot="1" x14ac:dyDescent="0.25">
      <c r="A126" s="321" t="s">
        <v>897</v>
      </c>
      <c r="B126" s="322"/>
      <c r="C126" s="323" t="s">
        <v>456</v>
      </c>
      <c r="D126" s="324" t="s">
        <v>160</v>
      </c>
      <c r="E126" s="325">
        <v>25</v>
      </c>
      <c r="F126" s="630">
        <v>24.68</v>
      </c>
      <c r="G126" s="325">
        <f t="shared" si="0"/>
        <v>617</v>
      </c>
      <c r="H126" s="326"/>
    </row>
    <row r="127" spans="1:8" x14ac:dyDescent="0.2">
      <c r="A127" s="337" t="s">
        <v>898</v>
      </c>
      <c r="B127" s="338"/>
      <c r="C127" s="339" t="s">
        <v>899</v>
      </c>
      <c r="D127" s="340" t="s">
        <v>160</v>
      </c>
      <c r="E127" s="341">
        <v>125</v>
      </c>
      <c r="F127" s="631">
        <v>33.07</v>
      </c>
      <c r="G127" s="341">
        <f t="shared" si="0"/>
        <v>4133.75</v>
      </c>
      <c r="H127" s="342"/>
    </row>
    <row r="128" spans="1:8" x14ac:dyDescent="0.2">
      <c r="A128" s="343" t="s">
        <v>900</v>
      </c>
      <c r="B128" s="328"/>
      <c r="C128" s="329" t="s">
        <v>901</v>
      </c>
      <c r="D128" s="330" t="s">
        <v>160</v>
      </c>
      <c r="E128" s="331">
        <v>130</v>
      </c>
      <c r="F128" s="632">
        <v>48.89</v>
      </c>
      <c r="G128" s="331">
        <f t="shared" si="0"/>
        <v>6355.7</v>
      </c>
      <c r="H128" s="344"/>
    </row>
    <row r="129" spans="1:8" ht="38.25" x14ac:dyDescent="0.2">
      <c r="A129" s="343" t="s">
        <v>902</v>
      </c>
      <c r="B129" s="328"/>
      <c r="C129" s="329" t="s">
        <v>457</v>
      </c>
      <c r="D129" s="330"/>
      <c r="E129" s="331"/>
      <c r="F129" s="632"/>
      <c r="G129" s="331"/>
      <c r="H129" s="344"/>
    </row>
    <row r="130" spans="1:8" x14ac:dyDescent="0.2">
      <c r="A130" s="343" t="s">
        <v>903</v>
      </c>
      <c r="B130" s="328"/>
      <c r="C130" s="329" t="s">
        <v>458</v>
      </c>
      <c r="D130" s="330" t="s">
        <v>160</v>
      </c>
      <c r="E130" s="331">
        <v>50</v>
      </c>
      <c r="F130" s="632">
        <v>4.7300000000000004</v>
      </c>
      <c r="G130" s="331">
        <f>F130*E130</f>
        <v>236.50000000000003</v>
      </c>
      <c r="H130" s="344"/>
    </row>
    <row r="131" spans="1:8" x14ac:dyDescent="0.2">
      <c r="A131" s="343" t="s">
        <v>904</v>
      </c>
      <c r="B131" s="328"/>
      <c r="C131" s="329" t="s">
        <v>459</v>
      </c>
      <c r="D131" s="330" t="s">
        <v>160</v>
      </c>
      <c r="E131" s="331">
        <v>60</v>
      </c>
      <c r="F131" s="632">
        <v>7.4</v>
      </c>
      <c r="G131" s="331">
        <f>F131*E131</f>
        <v>444</v>
      </c>
      <c r="H131" s="344"/>
    </row>
    <row r="132" spans="1:8" x14ac:dyDescent="0.2">
      <c r="A132" s="343"/>
      <c r="B132" s="332"/>
      <c r="C132" s="333" t="s">
        <v>905</v>
      </c>
      <c r="D132" s="334"/>
      <c r="E132" s="334"/>
      <c r="F132" s="632"/>
      <c r="G132" s="335">
        <f>SUM(G119:G131)</f>
        <v>53732.95</v>
      </c>
      <c r="H132" s="344"/>
    </row>
    <row r="133" spans="1:8" x14ac:dyDescent="0.2">
      <c r="A133" s="343" t="s">
        <v>906</v>
      </c>
      <c r="B133" s="328" t="s">
        <v>460</v>
      </c>
      <c r="C133" s="333" t="s">
        <v>461</v>
      </c>
      <c r="D133" s="330"/>
      <c r="E133" s="331"/>
      <c r="F133" s="632"/>
      <c r="G133" s="331"/>
      <c r="H133" s="344"/>
    </row>
    <row r="134" spans="1:8" x14ac:dyDescent="0.2">
      <c r="A134" s="343" t="s">
        <v>907</v>
      </c>
      <c r="B134" s="328"/>
      <c r="C134" s="329" t="s">
        <v>462</v>
      </c>
      <c r="D134" s="330" t="s">
        <v>172</v>
      </c>
      <c r="E134" s="331">
        <v>8</v>
      </c>
      <c r="F134" s="632">
        <v>27.19</v>
      </c>
      <c r="G134" s="331">
        <f t="shared" ref="G134:G144" si="1">F134*E134</f>
        <v>217.52</v>
      </c>
      <c r="H134" s="344"/>
    </row>
    <row r="135" spans="1:8" x14ac:dyDescent="0.2">
      <c r="A135" s="343" t="s">
        <v>908</v>
      </c>
      <c r="B135" s="328"/>
      <c r="C135" s="329" t="s">
        <v>463</v>
      </c>
      <c r="D135" s="330" t="s">
        <v>172</v>
      </c>
      <c r="E135" s="331">
        <v>12</v>
      </c>
      <c r="F135" s="632">
        <v>21.39</v>
      </c>
      <c r="G135" s="331">
        <f t="shared" si="1"/>
        <v>256.68</v>
      </c>
      <c r="H135" s="344"/>
    </row>
    <row r="136" spans="1:8" x14ac:dyDescent="0.2">
      <c r="A136" s="343" t="s">
        <v>909</v>
      </c>
      <c r="B136" s="328"/>
      <c r="C136" s="329" t="s">
        <v>464</v>
      </c>
      <c r="D136" s="330" t="s">
        <v>172</v>
      </c>
      <c r="E136" s="331">
        <v>14</v>
      </c>
      <c r="F136" s="632">
        <v>19.920000000000002</v>
      </c>
      <c r="G136" s="331">
        <f t="shared" si="1"/>
        <v>278.88</v>
      </c>
      <c r="H136" s="344"/>
    </row>
    <row r="137" spans="1:8" x14ac:dyDescent="0.2">
      <c r="A137" s="343" t="s">
        <v>910</v>
      </c>
      <c r="B137" s="328"/>
      <c r="C137" s="329" t="s">
        <v>465</v>
      </c>
      <c r="D137" s="330" t="s">
        <v>172</v>
      </c>
      <c r="E137" s="331">
        <v>3</v>
      </c>
      <c r="F137" s="632">
        <v>26.63</v>
      </c>
      <c r="G137" s="331">
        <f t="shared" si="1"/>
        <v>79.89</v>
      </c>
      <c r="H137" s="344"/>
    </row>
    <row r="138" spans="1:8" x14ac:dyDescent="0.2">
      <c r="A138" s="343" t="s">
        <v>911</v>
      </c>
      <c r="B138" s="328"/>
      <c r="C138" s="329" t="s">
        <v>466</v>
      </c>
      <c r="D138" s="330" t="s">
        <v>172</v>
      </c>
      <c r="E138" s="331">
        <v>5</v>
      </c>
      <c r="F138" s="632">
        <v>20.309999999999999</v>
      </c>
      <c r="G138" s="331">
        <f t="shared" si="1"/>
        <v>101.55</v>
      </c>
      <c r="H138" s="344"/>
    </row>
    <row r="139" spans="1:8" x14ac:dyDescent="0.2">
      <c r="A139" s="343" t="s">
        <v>912</v>
      </c>
      <c r="B139" s="328"/>
      <c r="C139" s="329" t="s">
        <v>467</v>
      </c>
      <c r="D139" s="330" t="s">
        <v>172</v>
      </c>
      <c r="E139" s="331">
        <v>8</v>
      </c>
      <c r="F139" s="632">
        <v>5.92</v>
      </c>
      <c r="G139" s="331">
        <f t="shared" si="1"/>
        <v>47.36</v>
      </c>
      <c r="H139" s="344"/>
    </row>
    <row r="140" spans="1:8" x14ac:dyDescent="0.2">
      <c r="A140" s="343" t="s">
        <v>913</v>
      </c>
      <c r="B140" s="328"/>
      <c r="C140" s="329" t="s">
        <v>468</v>
      </c>
      <c r="D140" s="330" t="s">
        <v>172</v>
      </c>
      <c r="E140" s="331">
        <v>14</v>
      </c>
      <c r="F140" s="632">
        <v>5.2</v>
      </c>
      <c r="G140" s="331">
        <f t="shared" si="1"/>
        <v>72.8</v>
      </c>
      <c r="H140" s="344"/>
    </row>
    <row r="141" spans="1:8" x14ac:dyDescent="0.2">
      <c r="A141" s="343" t="s">
        <v>914</v>
      </c>
      <c r="B141" s="328"/>
      <c r="C141" s="329" t="s">
        <v>469</v>
      </c>
      <c r="D141" s="330" t="s">
        <v>172</v>
      </c>
      <c r="E141" s="331">
        <v>20</v>
      </c>
      <c r="F141" s="632">
        <v>5.24</v>
      </c>
      <c r="G141" s="331">
        <f t="shared" si="1"/>
        <v>104.80000000000001</v>
      </c>
      <c r="H141" s="344"/>
    </row>
    <row r="142" spans="1:8" x14ac:dyDescent="0.2">
      <c r="A142" s="343" t="s">
        <v>915</v>
      </c>
      <c r="B142" s="328"/>
      <c r="C142" s="329" t="s">
        <v>470</v>
      </c>
      <c r="D142" s="330" t="s">
        <v>172</v>
      </c>
      <c r="E142" s="331">
        <v>3</v>
      </c>
      <c r="F142" s="632">
        <v>61.57</v>
      </c>
      <c r="G142" s="331">
        <f t="shared" si="1"/>
        <v>184.71</v>
      </c>
      <c r="H142" s="344"/>
    </row>
    <row r="143" spans="1:8" x14ac:dyDescent="0.2">
      <c r="A143" s="343" t="s">
        <v>916</v>
      </c>
      <c r="B143" s="328"/>
      <c r="C143" s="329" t="s">
        <v>471</v>
      </c>
      <c r="D143" s="330" t="s">
        <v>172</v>
      </c>
      <c r="E143" s="331">
        <v>8</v>
      </c>
      <c r="F143" s="632">
        <v>101.48</v>
      </c>
      <c r="G143" s="331">
        <f t="shared" si="1"/>
        <v>811.84</v>
      </c>
      <c r="H143" s="344"/>
    </row>
    <row r="144" spans="1:8" x14ac:dyDescent="0.2">
      <c r="A144" s="343" t="s">
        <v>917</v>
      </c>
      <c r="B144" s="328"/>
      <c r="C144" s="329" t="s">
        <v>472</v>
      </c>
      <c r="D144" s="330" t="s">
        <v>172</v>
      </c>
      <c r="E144" s="331">
        <v>8</v>
      </c>
      <c r="F144" s="632">
        <v>148.86000000000001</v>
      </c>
      <c r="G144" s="331">
        <f t="shared" si="1"/>
        <v>1190.8800000000001</v>
      </c>
      <c r="H144" s="344"/>
    </row>
    <row r="145" spans="1:8" x14ac:dyDescent="0.2">
      <c r="A145" s="343"/>
      <c r="B145" s="332"/>
      <c r="C145" s="333" t="s">
        <v>918</v>
      </c>
      <c r="D145" s="334"/>
      <c r="E145" s="334"/>
      <c r="F145" s="632"/>
      <c r="G145" s="335">
        <f>SUM(G134:G144)</f>
        <v>3346.9100000000003</v>
      </c>
      <c r="H145" s="344"/>
    </row>
    <row r="146" spans="1:8" x14ac:dyDescent="0.2">
      <c r="A146" s="343" t="s">
        <v>919</v>
      </c>
      <c r="B146" s="328" t="s">
        <v>473</v>
      </c>
      <c r="C146" s="333" t="s">
        <v>474</v>
      </c>
      <c r="D146" s="328"/>
      <c r="E146" s="336"/>
      <c r="F146" s="632"/>
      <c r="G146" s="331"/>
      <c r="H146" s="344"/>
    </row>
    <row r="147" spans="1:8" ht="25.5" x14ac:dyDescent="0.2">
      <c r="A147" s="343" t="s">
        <v>920</v>
      </c>
      <c r="B147" s="330"/>
      <c r="C147" s="329" t="s">
        <v>921</v>
      </c>
      <c r="D147" s="330" t="s">
        <v>172</v>
      </c>
      <c r="E147" s="331">
        <v>4</v>
      </c>
      <c r="F147" s="632">
        <v>101.48</v>
      </c>
      <c r="G147" s="331">
        <f t="shared" ref="G147:G154" si="2">F147*E147</f>
        <v>405.92</v>
      </c>
      <c r="H147" s="344"/>
    </row>
    <row r="148" spans="1:8" ht="25.5" x14ac:dyDescent="0.2">
      <c r="A148" s="343" t="s">
        <v>922</v>
      </c>
      <c r="B148" s="330"/>
      <c r="C148" s="329" t="s">
        <v>923</v>
      </c>
      <c r="D148" s="330" t="s">
        <v>172</v>
      </c>
      <c r="E148" s="331">
        <v>1</v>
      </c>
      <c r="F148" s="632">
        <v>101.48</v>
      </c>
      <c r="G148" s="331">
        <f t="shared" si="2"/>
        <v>101.48</v>
      </c>
      <c r="H148" s="344"/>
    </row>
    <row r="149" spans="1:8" x14ac:dyDescent="0.2">
      <c r="A149" s="343" t="s">
        <v>924</v>
      </c>
      <c r="B149" s="330"/>
      <c r="C149" s="329" t="s">
        <v>925</v>
      </c>
      <c r="D149" s="330" t="s">
        <v>172</v>
      </c>
      <c r="E149" s="331">
        <v>1</v>
      </c>
      <c r="F149" s="632">
        <v>53.79</v>
      </c>
      <c r="G149" s="331">
        <f t="shared" si="2"/>
        <v>53.79</v>
      </c>
      <c r="H149" s="344"/>
    </row>
    <row r="150" spans="1:8" x14ac:dyDescent="0.2">
      <c r="A150" s="343" t="s">
        <v>926</v>
      </c>
      <c r="B150" s="330"/>
      <c r="C150" s="329" t="s">
        <v>927</v>
      </c>
      <c r="D150" s="330" t="s">
        <v>172</v>
      </c>
      <c r="E150" s="331">
        <v>3</v>
      </c>
      <c r="F150" s="632">
        <v>76.11</v>
      </c>
      <c r="G150" s="331">
        <f t="shared" si="2"/>
        <v>228.32999999999998</v>
      </c>
      <c r="H150" s="344"/>
    </row>
    <row r="151" spans="1:8" ht="25.5" x14ac:dyDescent="0.2">
      <c r="A151" s="343" t="s">
        <v>928</v>
      </c>
      <c r="B151" s="330"/>
      <c r="C151" s="329" t="s">
        <v>929</v>
      </c>
      <c r="D151" s="330" t="s">
        <v>172</v>
      </c>
      <c r="E151" s="331">
        <v>1</v>
      </c>
      <c r="F151" s="632">
        <v>385.68</v>
      </c>
      <c r="G151" s="331">
        <f t="shared" si="2"/>
        <v>385.68</v>
      </c>
      <c r="H151" s="344"/>
    </row>
    <row r="152" spans="1:8" ht="25.5" x14ac:dyDescent="0.2">
      <c r="A152" s="343" t="s">
        <v>930</v>
      </c>
      <c r="B152" s="330"/>
      <c r="C152" s="329" t="s">
        <v>931</v>
      </c>
      <c r="D152" s="330" t="s">
        <v>172</v>
      </c>
      <c r="E152" s="331">
        <v>1</v>
      </c>
      <c r="F152" s="632">
        <v>143.79</v>
      </c>
      <c r="G152" s="331">
        <f t="shared" si="2"/>
        <v>143.79</v>
      </c>
      <c r="H152" s="344"/>
    </row>
    <row r="153" spans="1:8" ht="25.5" x14ac:dyDescent="0.2">
      <c r="A153" s="343" t="s">
        <v>932</v>
      </c>
      <c r="B153" s="330"/>
      <c r="C153" s="329" t="s">
        <v>557</v>
      </c>
      <c r="D153" s="330" t="s">
        <v>172</v>
      </c>
      <c r="E153" s="331">
        <v>1</v>
      </c>
      <c r="F153" s="632">
        <v>143.79</v>
      </c>
      <c r="G153" s="331">
        <f t="shared" si="2"/>
        <v>143.79</v>
      </c>
      <c r="H153" s="344"/>
    </row>
    <row r="154" spans="1:8" ht="25.5" x14ac:dyDescent="0.2">
      <c r="A154" s="343" t="s">
        <v>933</v>
      </c>
      <c r="B154" s="330"/>
      <c r="C154" s="329" t="s">
        <v>934</v>
      </c>
      <c r="D154" s="330" t="s">
        <v>172</v>
      </c>
      <c r="E154" s="331">
        <v>1</v>
      </c>
      <c r="F154" s="632">
        <v>143.79</v>
      </c>
      <c r="G154" s="331">
        <f t="shared" si="2"/>
        <v>143.79</v>
      </c>
      <c r="H154" s="344"/>
    </row>
    <row r="155" spans="1:8" ht="25.5" x14ac:dyDescent="0.2">
      <c r="A155" s="343" t="s">
        <v>935</v>
      </c>
      <c r="B155" s="330"/>
      <c r="C155" s="329" t="s">
        <v>936</v>
      </c>
      <c r="D155" s="330" t="s">
        <v>172</v>
      </c>
      <c r="E155" s="331">
        <v>1</v>
      </c>
      <c r="F155" s="632">
        <v>186.06</v>
      </c>
      <c r="G155" s="331">
        <f>F155*E155</f>
        <v>186.06</v>
      </c>
      <c r="H155" s="344"/>
    </row>
    <row r="156" spans="1:8" ht="38.25" x14ac:dyDescent="0.2">
      <c r="A156" s="343" t="s">
        <v>937</v>
      </c>
      <c r="B156" s="330"/>
      <c r="C156" s="329" t="s">
        <v>938</v>
      </c>
      <c r="D156" s="330" t="s">
        <v>172</v>
      </c>
      <c r="E156" s="331">
        <v>1</v>
      </c>
      <c r="F156" s="632">
        <v>219.9</v>
      </c>
      <c r="G156" s="331">
        <f>F156*E156</f>
        <v>219.9</v>
      </c>
      <c r="H156" s="344"/>
    </row>
    <row r="157" spans="1:8" ht="25.5" x14ac:dyDescent="0.2">
      <c r="A157" s="343" t="s">
        <v>939</v>
      </c>
      <c r="B157" s="330"/>
      <c r="C157" s="329" t="s">
        <v>940</v>
      </c>
      <c r="D157" s="330" t="s">
        <v>172</v>
      </c>
      <c r="E157" s="331">
        <v>3</v>
      </c>
      <c r="F157" s="632">
        <v>98.1</v>
      </c>
      <c r="G157" s="331">
        <f>F157*E157</f>
        <v>294.29999999999995</v>
      </c>
      <c r="H157" s="344"/>
    </row>
    <row r="158" spans="1:8" ht="26.25" thickBot="1" x14ac:dyDescent="0.25">
      <c r="A158" s="345" t="s">
        <v>941</v>
      </c>
      <c r="B158" s="346"/>
      <c r="C158" s="349" t="s">
        <v>942</v>
      </c>
      <c r="D158" s="346" t="s">
        <v>172</v>
      </c>
      <c r="E158" s="347">
        <v>2</v>
      </c>
      <c r="F158" s="633">
        <v>98.1</v>
      </c>
      <c r="G158" s="347">
        <f>F158*E158</f>
        <v>196.2</v>
      </c>
      <c r="H158" s="348"/>
    </row>
    <row r="159" spans="1:8" x14ac:dyDescent="0.2">
      <c r="A159" s="337"/>
      <c r="B159" s="350"/>
      <c r="C159" s="351" t="s">
        <v>943</v>
      </c>
      <c r="D159" s="352"/>
      <c r="E159" s="352"/>
      <c r="F159" s="631"/>
      <c r="G159" s="353">
        <f>SUM(G147:G158)</f>
        <v>2503.0299999999997</v>
      </c>
      <c r="H159" s="342"/>
    </row>
    <row r="160" spans="1:8" x14ac:dyDescent="0.2">
      <c r="A160" s="343" t="s">
        <v>944</v>
      </c>
      <c r="B160" s="328" t="s">
        <v>510</v>
      </c>
      <c r="C160" s="333" t="s">
        <v>511</v>
      </c>
      <c r="D160" s="330"/>
      <c r="E160" s="331"/>
      <c r="F160" s="632"/>
      <c r="G160" s="331"/>
      <c r="H160" s="344"/>
    </row>
    <row r="161" spans="1:8" x14ac:dyDescent="0.2">
      <c r="A161" s="343" t="s">
        <v>945</v>
      </c>
      <c r="B161" s="328"/>
      <c r="C161" s="329" t="s">
        <v>558</v>
      </c>
      <c r="D161" s="330" t="s">
        <v>172</v>
      </c>
      <c r="E161" s="331">
        <v>51</v>
      </c>
      <c r="F161" s="632">
        <v>13.65</v>
      </c>
      <c r="G161" s="331">
        <f t="shared" ref="G161:G176" si="3">F161*E161</f>
        <v>696.15</v>
      </c>
      <c r="H161" s="344"/>
    </row>
    <row r="162" spans="1:8" x14ac:dyDescent="0.2">
      <c r="A162" s="300" t="s">
        <v>946</v>
      </c>
      <c r="B162" s="314"/>
      <c r="C162" s="315" t="s">
        <v>559</v>
      </c>
      <c r="D162" s="316" t="s">
        <v>172</v>
      </c>
      <c r="E162" s="273">
        <v>2</v>
      </c>
      <c r="F162" s="634">
        <v>13.65</v>
      </c>
      <c r="G162" s="273">
        <f t="shared" si="3"/>
        <v>27.3</v>
      </c>
      <c r="H162" s="317"/>
    </row>
    <row r="163" spans="1:8" x14ac:dyDescent="0.2">
      <c r="A163" s="284" t="s">
        <v>947</v>
      </c>
      <c r="B163" s="79"/>
      <c r="C163" s="103" t="s">
        <v>948</v>
      </c>
      <c r="D163" s="102" t="s">
        <v>172</v>
      </c>
      <c r="E163" s="88">
        <v>1</v>
      </c>
      <c r="F163" s="627">
        <v>76.92</v>
      </c>
      <c r="G163" s="88">
        <f>F163*E163</f>
        <v>76.92</v>
      </c>
      <c r="H163" s="286"/>
    </row>
    <row r="164" spans="1:8" x14ac:dyDescent="0.2">
      <c r="A164" s="284" t="s">
        <v>949</v>
      </c>
      <c r="B164" s="79"/>
      <c r="C164" s="103" t="s">
        <v>950</v>
      </c>
      <c r="D164" s="102" t="s">
        <v>172</v>
      </c>
      <c r="E164" s="88">
        <v>27</v>
      </c>
      <c r="F164" s="627">
        <v>76.92</v>
      </c>
      <c r="G164" s="88">
        <f t="shared" si="3"/>
        <v>2076.84</v>
      </c>
      <c r="H164" s="286"/>
    </row>
    <row r="165" spans="1:8" x14ac:dyDescent="0.2">
      <c r="A165" s="284" t="s">
        <v>951</v>
      </c>
      <c r="B165" s="79"/>
      <c r="C165" s="103" t="s">
        <v>952</v>
      </c>
      <c r="D165" s="102" t="s">
        <v>172</v>
      </c>
      <c r="E165" s="88">
        <v>1</v>
      </c>
      <c r="F165" s="627">
        <v>103.51</v>
      </c>
      <c r="G165" s="88">
        <f t="shared" si="3"/>
        <v>103.51</v>
      </c>
      <c r="H165" s="286"/>
    </row>
    <row r="166" spans="1:8" x14ac:dyDescent="0.2">
      <c r="A166" s="284" t="s">
        <v>953</v>
      </c>
      <c r="B166" s="79"/>
      <c r="C166" s="103" t="s">
        <v>562</v>
      </c>
      <c r="D166" s="102" t="s">
        <v>172</v>
      </c>
      <c r="E166" s="88">
        <v>1</v>
      </c>
      <c r="F166" s="627">
        <v>165.35</v>
      </c>
      <c r="G166" s="88">
        <f>F166*E166</f>
        <v>165.35</v>
      </c>
      <c r="H166" s="286"/>
    </row>
    <row r="167" spans="1:8" x14ac:dyDescent="0.2">
      <c r="A167" s="284" t="s">
        <v>954</v>
      </c>
      <c r="B167" s="79"/>
      <c r="C167" s="103" t="s">
        <v>560</v>
      </c>
      <c r="D167" s="102" t="s">
        <v>172</v>
      </c>
      <c r="E167" s="88">
        <v>2</v>
      </c>
      <c r="F167" s="627">
        <v>103.51</v>
      </c>
      <c r="G167" s="88">
        <f t="shared" si="3"/>
        <v>207.02</v>
      </c>
      <c r="H167" s="286"/>
    </row>
    <row r="168" spans="1:8" x14ac:dyDescent="0.2">
      <c r="A168" s="284" t="s">
        <v>955</v>
      </c>
      <c r="B168" s="79"/>
      <c r="C168" s="103" t="s">
        <v>561</v>
      </c>
      <c r="D168" s="102" t="s">
        <v>172</v>
      </c>
      <c r="E168" s="88">
        <v>1</v>
      </c>
      <c r="F168" s="627">
        <v>150.96</v>
      </c>
      <c r="G168" s="88">
        <f t="shared" si="3"/>
        <v>150.96</v>
      </c>
      <c r="H168" s="286"/>
    </row>
    <row r="169" spans="1:8" x14ac:dyDescent="0.2">
      <c r="A169" s="284" t="s">
        <v>956</v>
      </c>
      <c r="B169" s="102"/>
      <c r="C169" s="103" t="s">
        <v>957</v>
      </c>
      <c r="D169" s="102" t="s">
        <v>172</v>
      </c>
      <c r="E169" s="88">
        <v>2</v>
      </c>
      <c r="F169" s="627">
        <v>101.36</v>
      </c>
      <c r="G169" s="88">
        <f t="shared" si="3"/>
        <v>202.72</v>
      </c>
      <c r="H169" s="286"/>
    </row>
    <row r="170" spans="1:8" x14ac:dyDescent="0.2">
      <c r="A170" s="284" t="s">
        <v>958</v>
      </c>
      <c r="B170" s="79"/>
      <c r="C170" s="103" t="s">
        <v>959</v>
      </c>
      <c r="D170" s="102" t="s">
        <v>172</v>
      </c>
      <c r="E170" s="88">
        <v>1</v>
      </c>
      <c r="F170" s="627">
        <v>165.35</v>
      </c>
      <c r="G170" s="88">
        <f>F170*E170</f>
        <v>165.35</v>
      </c>
      <c r="H170" s="286"/>
    </row>
    <row r="171" spans="1:8" x14ac:dyDescent="0.2">
      <c r="A171" s="284" t="s">
        <v>960</v>
      </c>
      <c r="B171" s="79"/>
      <c r="C171" s="103" t="s">
        <v>961</v>
      </c>
      <c r="D171" s="102" t="s">
        <v>172</v>
      </c>
      <c r="E171" s="88">
        <v>2</v>
      </c>
      <c r="F171" s="627">
        <v>1302.52</v>
      </c>
      <c r="G171" s="88">
        <f t="shared" si="3"/>
        <v>2605.04</v>
      </c>
      <c r="H171" s="286"/>
    </row>
    <row r="172" spans="1:8" x14ac:dyDescent="0.2">
      <c r="A172" s="284" t="s">
        <v>962</v>
      </c>
      <c r="B172" s="79"/>
      <c r="C172" s="103" t="s">
        <v>963</v>
      </c>
      <c r="D172" s="102" t="s">
        <v>172</v>
      </c>
      <c r="E172" s="88">
        <v>2</v>
      </c>
      <c r="F172" s="627">
        <v>1556.25</v>
      </c>
      <c r="G172" s="88">
        <f t="shared" si="3"/>
        <v>3112.5</v>
      </c>
      <c r="H172" s="286"/>
    </row>
    <row r="173" spans="1:8" ht="25.5" x14ac:dyDescent="0.2">
      <c r="A173" s="284" t="s">
        <v>964</v>
      </c>
      <c r="B173" s="79"/>
      <c r="C173" s="103" t="s">
        <v>965</v>
      </c>
      <c r="D173" s="102" t="s">
        <v>172</v>
      </c>
      <c r="E173" s="88">
        <v>1</v>
      </c>
      <c r="F173" s="627">
        <v>1683.13</v>
      </c>
      <c r="G173" s="88">
        <f t="shared" si="3"/>
        <v>1683.13</v>
      </c>
      <c r="H173" s="286"/>
    </row>
    <row r="174" spans="1:8" ht="25.5" x14ac:dyDescent="0.2">
      <c r="A174" s="284" t="s">
        <v>966</v>
      </c>
      <c r="B174" s="79"/>
      <c r="C174" s="103" t="s">
        <v>967</v>
      </c>
      <c r="D174" s="102" t="s">
        <v>172</v>
      </c>
      <c r="E174" s="88">
        <v>70</v>
      </c>
      <c r="F174" s="627">
        <v>71.040000000000006</v>
      </c>
      <c r="G174" s="88">
        <f t="shared" si="3"/>
        <v>4972.8</v>
      </c>
      <c r="H174" s="286"/>
    </row>
    <row r="175" spans="1:8" ht="25.5" x14ac:dyDescent="0.2">
      <c r="A175" s="284" t="s">
        <v>968</v>
      </c>
      <c r="B175" s="79"/>
      <c r="C175" s="103" t="s">
        <v>969</v>
      </c>
      <c r="D175" s="102" t="s">
        <v>172</v>
      </c>
      <c r="E175" s="88">
        <v>1</v>
      </c>
      <c r="F175" s="627">
        <v>147.16999999999999</v>
      </c>
      <c r="G175" s="88">
        <f t="shared" si="3"/>
        <v>147.16999999999999</v>
      </c>
      <c r="H175" s="286"/>
    </row>
    <row r="176" spans="1:8" ht="25.5" x14ac:dyDescent="0.2">
      <c r="A176" s="284" t="s">
        <v>970</v>
      </c>
      <c r="B176" s="79"/>
      <c r="C176" s="103" t="s">
        <v>513</v>
      </c>
      <c r="D176" s="102" t="s">
        <v>172</v>
      </c>
      <c r="E176" s="88">
        <v>4</v>
      </c>
      <c r="F176" s="627">
        <v>187.76</v>
      </c>
      <c r="G176" s="88">
        <f t="shared" si="3"/>
        <v>751.04</v>
      </c>
      <c r="H176" s="286"/>
    </row>
    <row r="177" spans="1:8" x14ac:dyDescent="0.2">
      <c r="A177" s="284"/>
      <c r="B177" s="89"/>
      <c r="C177" s="80" t="s">
        <v>971</v>
      </c>
      <c r="D177" s="76"/>
      <c r="E177" s="76"/>
      <c r="F177" s="627"/>
      <c r="G177" s="96">
        <f>SUM(G161:G176)</f>
        <v>17143.8</v>
      </c>
      <c r="H177" s="286"/>
    </row>
    <row r="178" spans="1:8" x14ac:dyDescent="0.2">
      <c r="A178" s="284" t="s">
        <v>972</v>
      </c>
      <c r="B178" s="79" t="s">
        <v>514</v>
      </c>
      <c r="C178" s="16" t="s">
        <v>515</v>
      </c>
      <c r="D178" s="91"/>
      <c r="E178" s="91"/>
      <c r="F178" s="627"/>
      <c r="G178" s="91"/>
      <c r="H178" s="286"/>
    </row>
    <row r="179" spans="1:8" x14ac:dyDescent="0.2">
      <c r="A179" s="284" t="s">
        <v>973</v>
      </c>
      <c r="B179" s="79" t="s">
        <v>516</v>
      </c>
      <c r="C179" s="16" t="s">
        <v>517</v>
      </c>
      <c r="D179" s="16"/>
      <c r="E179" s="16"/>
      <c r="F179" s="627"/>
      <c r="G179" s="16"/>
      <c r="H179" s="286"/>
    </row>
    <row r="180" spans="1:8" ht="25.5" x14ac:dyDescent="0.2">
      <c r="A180" s="284" t="s">
        <v>974</v>
      </c>
      <c r="B180" s="102"/>
      <c r="C180" s="103" t="s">
        <v>975</v>
      </c>
      <c r="D180" s="102" t="s">
        <v>172</v>
      </c>
      <c r="E180" s="88">
        <v>116</v>
      </c>
      <c r="F180" s="627">
        <v>195.87</v>
      </c>
      <c r="G180" s="88">
        <f t="shared" ref="G180:G186" si="4">F180*E180</f>
        <v>22720.920000000002</v>
      </c>
      <c r="H180" s="286"/>
    </row>
    <row r="181" spans="1:8" ht="25.5" x14ac:dyDescent="0.2">
      <c r="A181" s="284" t="s">
        <v>976</v>
      </c>
      <c r="B181" s="102"/>
      <c r="C181" s="103" t="s">
        <v>977</v>
      </c>
      <c r="D181" s="102" t="s">
        <v>172</v>
      </c>
      <c r="E181" s="88">
        <v>19</v>
      </c>
      <c r="F181" s="627">
        <v>151.35</v>
      </c>
      <c r="G181" s="88">
        <f t="shared" si="4"/>
        <v>2875.65</v>
      </c>
      <c r="H181" s="286"/>
    </row>
    <row r="182" spans="1:8" ht="25.5" x14ac:dyDescent="0.2">
      <c r="A182" s="284" t="s">
        <v>978</v>
      </c>
      <c r="B182" s="102"/>
      <c r="C182" s="103" t="s">
        <v>518</v>
      </c>
      <c r="D182" s="102" t="s">
        <v>172</v>
      </c>
      <c r="E182" s="88">
        <v>12</v>
      </c>
      <c r="F182" s="627">
        <v>39.5</v>
      </c>
      <c r="G182" s="88">
        <f t="shared" si="4"/>
        <v>474</v>
      </c>
      <c r="H182" s="286"/>
    </row>
    <row r="183" spans="1:8" x14ac:dyDescent="0.2">
      <c r="A183" s="284" t="s">
        <v>979</v>
      </c>
      <c r="B183" s="102"/>
      <c r="C183" s="103" t="s">
        <v>519</v>
      </c>
      <c r="D183" s="102" t="s">
        <v>172</v>
      </c>
      <c r="E183" s="88">
        <v>18</v>
      </c>
      <c r="F183" s="627">
        <v>48.89</v>
      </c>
      <c r="G183" s="88">
        <f t="shared" si="4"/>
        <v>880.02</v>
      </c>
      <c r="H183" s="286"/>
    </row>
    <row r="184" spans="1:8" ht="38.25" x14ac:dyDescent="0.2">
      <c r="A184" s="284" t="s">
        <v>980</v>
      </c>
      <c r="B184" s="102"/>
      <c r="C184" s="103" t="s">
        <v>520</v>
      </c>
      <c r="D184" s="102" t="s">
        <v>172</v>
      </c>
      <c r="E184" s="88">
        <v>2</v>
      </c>
      <c r="F184" s="627">
        <v>352.26</v>
      </c>
      <c r="G184" s="88">
        <f t="shared" si="4"/>
        <v>704.52</v>
      </c>
      <c r="H184" s="286"/>
    </row>
    <row r="185" spans="1:8" ht="38.25" x14ac:dyDescent="0.2">
      <c r="A185" s="284" t="s">
        <v>981</v>
      </c>
      <c r="B185" s="102"/>
      <c r="C185" s="103" t="s">
        <v>522</v>
      </c>
      <c r="D185" s="102" t="s">
        <v>172</v>
      </c>
      <c r="E185" s="88">
        <v>4</v>
      </c>
      <c r="F185" s="627">
        <v>280.38</v>
      </c>
      <c r="G185" s="88">
        <f t="shared" si="4"/>
        <v>1121.52</v>
      </c>
      <c r="H185" s="286"/>
    </row>
    <row r="186" spans="1:8" ht="63.75" x14ac:dyDescent="0.2">
      <c r="A186" s="284" t="s">
        <v>982</v>
      </c>
      <c r="B186" s="102"/>
      <c r="C186" s="103" t="s">
        <v>983</v>
      </c>
      <c r="D186" s="102" t="s">
        <v>172</v>
      </c>
      <c r="E186" s="88">
        <v>5</v>
      </c>
      <c r="F186" s="627">
        <v>312.93</v>
      </c>
      <c r="G186" s="88">
        <f t="shared" si="4"/>
        <v>1564.65</v>
      </c>
      <c r="H186" s="286"/>
    </row>
    <row r="187" spans="1:8" x14ac:dyDescent="0.2">
      <c r="A187" s="284"/>
      <c r="B187" s="89"/>
      <c r="C187" s="80" t="s">
        <v>135</v>
      </c>
      <c r="D187" s="76"/>
      <c r="E187" s="76"/>
      <c r="F187" s="627"/>
      <c r="G187" s="96">
        <f>SUM(G180:G186)</f>
        <v>30341.280000000006</v>
      </c>
      <c r="H187" s="286"/>
    </row>
    <row r="188" spans="1:8" ht="13.5" thickBot="1" x14ac:dyDescent="0.25">
      <c r="A188" s="303" t="s">
        <v>984</v>
      </c>
      <c r="B188" s="319" t="s">
        <v>523</v>
      </c>
      <c r="C188" s="354" t="s">
        <v>524</v>
      </c>
      <c r="D188" s="355"/>
      <c r="E188" s="307"/>
      <c r="F188" s="628"/>
      <c r="G188" s="356"/>
      <c r="H188" s="320"/>
    </row>
    <row r="189" spans="1:8" x14ac:dyDescent="0.2">
      <c r="A189" s="276" t="s">
        <v>985</v>
      </c>
      <c r="B189" s="359"/>
      <c r="C189" s="360" t="s">
        <v>986</v>
      </c>
      <c r="D189" s="359" t="s">
        <v>172</v>
      </c>
      <c r="E189" s="282">
        <v>1</v>
      </c>
      <c r="F189" s="629">
        <v>12.42</v>
      </c>
      <c r="G189" s="282">
        <f t="shared" ref="G189:G201" si="5">F189*E189</f>
        <v>12.42</v>
      </c>
      <c r="H189" s="283"/>
    </row>
    <row r="190" spans="1:8" x14ac:dyDescent="0.2">
      <c r="A190" s="321" t="s">
        <v>987</v>
      </c>
      <c r="B190" s="324"/>
      <c r="C190" s="323" t="s">
        <v>563</v>
      </c>
      <c r="D190" s="324" t="s">
        <v>172</v>
      </c>
      <c r="E190" s="325">
        <v>49</v>
      </c>
      <c r="F190" s="630">
        <v>12.42</v>
      </c>
      <c r="G190" s="325">
        <f t="shared" si="5"/>
        <v>608.58000000000004</v>
      </c>
      <c r="H190" s="326"/>
    </row>
    <row r="191" spans="1:8" x14ac:dyDescent="0.2">
      <c r="A191" s="343" t="s">
        <v>988</v>
      </c>
      <c r="B191" s="330"/>
      <c r="C191" s="329" t="s">
        <v>564</v>
      </c>
      <c r="D191" s="330" t="s">
        <v>172</v>
      </c>
      <c r="E191" s="331">
        <v>2</v>
      </c>
      <c r="F191" s="632">
        <v>21.83</v>
      </c>
      <c r="G191" s="331">
        <f t="shared" si="5"/>
        <v>43.66</v>
      </c>
      <c r="H191" s="344"/>
    </row>
    <row r="192" spans="1:8" x14ac:dyDescent="0.2">
      <c r="A192" s="343" t="s">
        <v>989</v>
      </c>
      <c r="B192" s="330"/>
      <c r="C192" s="329" t="s">
        <v>565</v>
      </c>
      <c r="D192" s="330" t="s">
        <v>172</v>
      </c>
      <c r="E192" s="331">
        <v>5</v>
      </c>
      <c r="F192" s="632">
        <v>31.63</v>
      </c>
      <c r="G192" s="331">
        <f t="shared" si="5"/>
        <v>158.15</v>
      </c>
      <c r="H192" s="344"/>
    </row>
    <row r="193" spans="1:8" x14ac:dyDescent="0.2">
      <c r="A193" s="300" t="s">
        <v>990</v>
      </c>
      <c r="B193" s="316"/>
      <c r="C193" s="315" t="s">
        <v>566</v>
      </c>
      <c r="D193" s="316" t="s">
        <v>172</v>
      </c>
      <c r="E193" s="273">
        <v>2</v>
      </c>
      <c r="F193" s="634">
        <v>7.94</v>
      </c>
      <c r="G193" s="273">
        <f t="shared" si="5"/>
        <v>15.88</v>
      </c>
      <c r="H193" s="317"/>
    </row>
    <row r="194" spans="1:8" x14ac:dyDescent="0.2">
      <c r="A194" s="284" t="s">
        <v>991</v>
      </c>
      <c r="B194" s="102"/>
      <c r="C194" s="103" t="s">
        <v>567</v>
      </c>
      <c r="D194" s="102" t="s">
        <v>172</v>
      </c>
      <c r="E194" s="88">
        <v>18</v>
      </c>
      <c r="F194" s="627">
        <v>14.54</v>
      </c>
      <c r="G194" s="88">
        <f t="shared" si="5"/>
        <v>261.71999999999997</v>
      </c>
      <c r="H194" s="286"/>
    </row>
    <row r="195" spans="1:8" x14ac:dyDescent="0.2">
      <c r="A195" s="284" t="s">
        <v>992</v>
      </c>
      <c r="B195" s="102"/>
      <c r="C195" s="103" t="s">
        <v>568</v>
      </c>
      <c r="D195" s="102" t="s">
        <v>172</v>
      </c>
      <c r="E195" s="88">
        <v>2</v>
      </c>
      <c r="F195" s="627">
        <v>23.35</v>
      </c>
      <c r="G195" s="88">
        <f t="shared" si="5"/>
        <v>46.7</v>
      </c>
      <c r="H195" s="286"/>
    </row>
    <row r="196" spans="1:8" ht="25.5" x14ac:dyDescent="0.2">
      <c r="A196" s="284" t="s">
        <v>993</v>
      </c>
      <c r="B196" s="102"/>
      <c r="C196" s="103" t="s">
        <v>994</v>
      </c>
      <c r="D196" s="102" t="s">
        <v>172</v>
      </c>
      <c r="E196" s="88">
        <v>1</v>
      </c>
      <c r="F196" s="627">
        <v>5.92</v>
      </c>
      <c r="G196" s="88">
        <f t="shared" si="5"/>
        <v>5.92</v>
      </c>
      <c r="H196" s="286"/>
    </row>
    <row r="197" spans="1:8" x14ac:dyDescent="0.2">
      <c r="A197" s="284" t="s">
        <v>995</v>
      </c>
      <c r="B197" s="102"/>
      <c r="C197" s="103" t="s">
        <v>569</v>
      </c>
      <c r="D197" s="102" t="s">
        <v>172</v>
      </c>
      <c r="E197" s="88">
        <v>6</v>
      </c>
      <c r="F197" s="627">
        <v>42.28</v>
      </c>
      <c r="G197" s="88">
        <f t="shared" si="5"/>
        <v>253.68</v>
      </c>
      <c r="H197" s="286"/>
    </row>
    <row r="198" spans="1:8" x14ac:dyDescent="0.2">
      <c r="A198" s="284" t="s">
        <v>996</v>
      </c>
      <c r="B198" s="102"/>
      <c r="C198" s="103" t="s">
        <v>570</v>
      </c>
      <c r="D198" s="102" t="s">
        <v>172</v>
      </c>
      <c r="E198" s="88">
        <v>49</v>
      </c>
      <c r="F198" s="627">
        <v>3.72</v>
      </c>
      <c r="G198" s="88">
        <f t="shared" si="5"/>
        <v>182.28</v>
      </c>
      <c r="H198" s="286"/>
    </row>
    <row r="199" spans="1:8" x14ac:dyDescent="0.2">
      <c r="A199" s="284" t="s">
        <v>997</v>
      </c>
      <c r="B199" s="102"/>
      <c r="C199" s="103" t="s">
        <v>571</v>
      </c>
      <c r="D199" s="102" t="s">
        <v>172</v>
      </c>
      <c r="E199" s="88">
        <v>20</v>
      </c>
      <c r="F199" s="627">
        <v>3.72</v>
      </c>
      <c r="G199" s="88">
        <f t="shared" si="5"/>
        <v>74.400000000000006</v>
      </c>
      <c r="H199" s="286"/>
    </row>
    <row r="200" spans="1:8" x14ac:dyDescent="0.2">
      <c r="A200" s="284" t="s">
        <v>998</v>
      </c>
      <c r="B200" s="102"/>
      <c r="C200" s="103" t="s">
        <v>572</v>
      </c>
      <c r="D200" s="102" t="s">
        <v>172</v>
      </c>
      <c r="E200" s="88">
        <v>5</v>
      </c>
      <c r="F200" s="627">
        <v>3.72</v>
      </c>
      <c r="G200" s="88">
        <f t="shared" si="5"/>
        <v>18.600000000000001</v>
      </c>
      <c r="H200" s="286"/>
    </row>
    <row r="201" spans="1:8" ht="25.5" x14ac:dyDescent="0.2">
      <c r="A201" s="284" t="s">
        <v>999</v>
      </c>
      <c r="B201" s="102"/>
      <c r="C201" s="103" t="s">
        <v>573</v>
      </c>
      <c r="D201" s="102" t="s">
        <v>172</v>
      </c>
      <c r="E201" s="88">
        <v>1</v>
      </c>
      <c r="F201" s="627">
        <v>7.21</v>
      </c>
      <c r="G201" s="88">
        <f t="shared" si="5"/>
        <v>7.21</v>
      </c>
      <c r="H201" s="286"/>
    </row>
    <row r="202" spans="1:8" x14ac:dyDescent="0.2">
      <c r="A202" s="284" t="s">
        <v>1000</v>
      </c>
      <c r="B202" s="89"/>
      <c r="C202" s="80" t="s">
        <v>126</v>
      </c>
      <c r="D202" s="76"/>
      <c r="E202" s="76"/>
      <c r="F202" s="627"/>
      <c r="G202" s="96">
        <f>SUM(G189:G201)</f>
        <v>1689.2</v>
      </c>
      <c r="H202" s="286"/>
    </row>
    <row r="203" spans="1:8" x14ac:dyDescent="0.2">
      <c r="A203" s="284" t="s">
        <v>1001</v>
      </c>
      <c r="B203" s="79" t="s">
        <v>531</v>
      </c>
      <c r="C203" s="2" t="s">
        <v>391</v>
      </c>
      <c r="D203" s="2"/>
      <c r="E203" s="2"/>
      <c r="F203" s="627"/>
      <c r="G203" s="2"/>
      <c r="H203" s="286"/>
    </row>
    <row r="204" spans="1:8" x14ac:dyDescent="0.2">
      <c r="A204" s="284" t="s">
        <v>1002</v>
      </c>
      <c r="B204" s="102"/>
      <c r="C204" s="103" t="s">
        <v>574</v>
      </c>
      <c r="D204" s="102" t="s">
        <v>172</v>
      </c>
      <c r="E204" s="88">
        <v>14</v>
      </c>
      <c r="F204" s="627">
        <v>18.600000000000001</v>
      </c>
      <c r="G204" s="88">
        <f t="shared" ref="G204:G209" si="6">F204*E204</f>
        <v>260.40000000000003</v>
      </c>
      <c r="H204" s="286"/>
    </row>
    <row r="205" spans="1:8" ht="25.5" x14ac:dyDescent="0.2">
      <c r="A205" s="284" t="s">
        <v>1003</v>
      </c>
      <c r="B205" s="102"/>
      <c r="C205" s="103" t="s">
        <v>1004</v>
      </c>
      <c r="D205" s="102" t="s">
        <v>172</v>
      </c>
      <c r="E205" s="88">
        <v>7</v>
      </c>
      <c r="F205" s="627">
        <v>5.92</v>
      </c>
      <c r="G205" s="88">
        <f t="shared" si="6"/>
        <v>41.44</v>
      </c>
      <c r="H205" s="286"/>
    </row>
    <row r="206" spans="1:8" x14ac:dyDescent="0.2">
      <c r="A206" s="284" t="s">
        <v>1005</v>
      </c>
      <c r="B206" s="102"/>
      <c r="C206" s="103" t="s">
        <v>1006</v>
      </c>
      <c r="D206" s="102" t="s">
        <v>172</v>
      </c>
      <c r="E206" s="88">
        <v>191</v>
      </c>
      <c r="F206" s="627">
        <v>18.600000000000001</v>
      </c>
      <c r="G206" s="88">
        <f t="shared" si="6"/>
        <v>3552.6000000000004</v>
      </c>
      <c r="H206" s="286"/>
    </row>
    <row r="207" spans="1:8" x14ac:dyDescent="0.2">
      <c r="A207" s="284" t="s">
        <v>1007</v>
      </c>
      <c r="B207" s="102"/>
      <c r="C207" s="103" t="s">
        <v>575</v>
      </c>
      <c r="D207" s="102" t="s">
        <v>172</v>
      </c>
      <c r="E207" s="88">
        <v>8</v>
      </c>
      <c r="F207" s="627">
        <v>19.45</v>
      </c>
      <c r="G207" s="88">
        <f t="shared" si="6"/>
        <v>155.6</v>
      </c>
      <c r="H207" s="286"/>
    </row>
    <row r="208" spans="1:8" x14ac:dyDescent="0.2">
      <c r="A208" s="284" t="s">
        <v>1008</v>
      </c>
      <c r="B208" s="102"/>
      <c r="C208" s="103" t="s">
        <v>576</v>
      </c>
      <c r="D208" s="102" t="s">
        <v>172</v>
      </c>
      <c r="E208" s="88">
        <v>191</v>
      </c>
      <c r="F208" s="627">
        <v>3.72</v>
      </c>
      <c r="G208" s="88">
        <f t="shared" si="6"/>
        <v>710.52</v>
      </c>
      <c r="H208" s="286"/>
    </row>
    <row r="209" spans="1:8" x14ac:dyDescent="0.2">
      <c r="A209" s="284" t="s">
        <v>1009</v>
      </c>
      <c r="B209" s="102"/>
      <c r="C209" s="103" t="s">
        <v>577</v>
      </c>
      <c r="D209" s="102" t="s">
        <v>172</v>
      </c>
      <c r="E209" s="88">
        <v>28</v>
      </c>
      <c r="F209" s="627">
        <v>5.0599999999999996</v>
      </c>
      <c r="G209" s="88">
        <f t="shared" si="6"/>
        <v>141.67999999999998</v>
      </c>
      <c r="H209" s="286"/>
    </row>
    <row r="210" spans="1:8" x14ac:dyDescent="0.2">
      <c r="A210" s="284"/>
      <c r="B210" s="89"/>
      <c r="C210" s="80" t="s">
        <v>128</v>
      </c>
      <c r="D210" s="76"/>
      <c r="E210" s="76"/>
      <c r="F210" s="627"/>
      <c r="G210" s="96">
        <f>SUM(G204:G209)</f>
        <v>4862.2400000000007</v>
      </c>
      <c r="H210" s="286"/>
    </row>
    <row r="211" spans="1:8" x14ac:dyDescent="0.2">
      <c r="A211" s="284" t="s">
        <v>1010</v>
      </c>
      <c r="B211" s="79" t="s">
        <v>11</v>
      </c>
      <c r="C211" s="80" t="s">
        <v>12</v>
      </c>
      <c r="D211" s="103"/>
      <c r="E211" s="103"/>
      <c r="F211" s="627"/>
      <c r="G211" s="103"/>
      <c r="H211" s="286"/>
    </row>
    <row r="212" spans="1:8" x14ac:dyDescent="0.2">
      <c r="A212" s="284" t="s">
        <v>1011</v>
      </c>
      <c r="B212" s="86"/>
      <c r="C212" s="103" t="s">
        <v>1012</v>
      </c>
      <c r="D212" s="86" t="s">
        <v>172</v>
      </c>
      <c r="E212" s="88">
        <v>64</v>
      </c>
      <c r="F212" s="627">
        <v>3.81</v>
      </c>
      <c r="G212" s="88">
        <f t="shared" ref="G212:G217" si="7">F212*E212</f>
        <v>243.84</v>
      </c>
      <c r="H212" s="286"/>
    </row>
    <row r="213" spans="1:8" x14ac:dyDescent="0.2">
      <c r="A213" s="284" t="s">
        <v>1013</v>
      </c>
      <c r="B213" s="102"/>
      <c r="C213" s="103" t="s">
        <v>13</v>
      </c>
      <c r="D213" s="102" t="s">
        <v>172</v>
      </c>
      <c r="E213" s="88">
        <v>1200</v>
      </c>
      <c r="F213" s="627">
        <v>0.16</v>
      </c>
      <c r="G213" s="88">
        <f t="shared" si="7"/>
        <v>192</v>
      </c>
      <c r="H213" s="285"/>
    </row>
    <row r="214" spans="1:8" x14ac:dyDescent="0.2">
      <c r="A214" s="284" t="s">
        <v>1014</v>
      </c>
      <c r="B214" s="102"/>
      <c r="C214" s="103" t="s">
        <v>14</v>
      </c>
      <c r="D214" s="102" t="s">
        <v>172</v>
      </c>
      <c r="E214" s="88">
        <v>32</v>
      </c>
      <c r="F214" s="627">
        <v>4.5999999999999996</v>
      </c>
      <c r="G214" s="88">
        <f t="shared" si="7"/>
        <v>147.19999999999999</v>
      </c>
      <c r="H214" s="286"/>
    </row>
    <row r="215" spans="1:8" x14ac:dyDescent="0.2">
      <c r="A215" s="284" t="s">
        <v>1015</v>
      </c>
      <c r="B215" s="102"/>
      <c r="C215" s="103" t="s">
        <v>15</v>
      </c>
      <c r="D215" s="102" t="s">
        <v>172</v>
      </c>
      <c r="E215" s="88">
        <v>32</v>
      </c>
      <c r="F215" s="627">
        <v>6.42</v>
      </c>
      <c r="G215" s="88">
        <f t="shared" si="7"/>
        <v>205.44</v>
      </c>
      <c r="H215" s="286"/>
    </row>
    <row r="216" spans="1:8" x14ac:dyDescent="0.2">
      <c r="A216" s="284" t="s">
        <v>1016</v>
      </c>
      <c r="B216" s="102"/>
      <c r="C216" s="103" t="s">
        <v>16</v>
      </c>
      <c r="D216" s="102" t="s">
        <v>172</v>
      </c>
      <c r="E216" s="88">
        <v>300</v>
      </c>
      <c r="F216" s="627">
        <v>0.14000000000000001</v>
      </c>
      <c r="G216" s="88">
        <f t="shared" si="7"/>
        <v>42.000000000000007</v>
      </c>
      <c r="H216" s="286"/>
    </row>
    <row r="217" spans="1:8" x14ac:dyDescent="0.2">
      <c r="A217" s="284" t="s">
        <v>1017</v>
      </c>
      <c r="B217" s="102"/>
      <c r="C217" s="103" t="s">
        <v>23</v>
      </c>
      <c r="D217" s="102" t="s">
        <v>160</v>
      </c>
      <c r="E217" s="88">
        <v>120</v>
      </c>
      <c r="F217" s="627">
        <v>4.22</v>
      </c>
      <c r="G217" s="88">
        <f t="shared" si="7"/>
        <v>506.4</v>
      </c>
      <c r="H217" s="285"/>
    </row>
    <row r="218" spans="1:8" x14ac:dyDescent="0.2">
      <c r="A218" s="284"/>
      <c r="B218" s="89"/>
      <c r="C218" s="80" t="s">
        <v>127</v>
      </c>
      <c r="D218" s="76"/>
      <c r="E218" s="76"/>
      <c r="F218" s="627"/>
      <c r="G218" s="96">
        <f>SUM(G212:G217)</f>
        <v>1336.88</v>
      </c>
      <c r="H218" s="286"/>
    </row>
    <row r="219" spans="1:8" x14ac:dyDescent="0.2">
      <c r="A219" s="284" t="s">
        <v>1018</v>
      </c>
      <c r="B219" s="81" t="s">
        <v>353</v>
      </c>
      <c r="C219" s="80" t="s">
        <v>354</v>
      </c>
      <c r="D219" s="103"/>
      <c r="E219" s="103"/>
      <c r="F219" s="627"/>
      <c r="G219" s="103"/>
      <c r="H219" s="286"/>
    </row>
    <row r="220" spans="1:8" x14ac:dyDescent="0.2">
      <c r="A220" s="284" t="s">
        <v>1019</v>
      </c>
      <c r="B220" s="81" t="s">
        <v>372</v>
      </c>
      <c r="C220" s="80" t="s">
        <v>373</v>
      </c>
      <c r="D220" s="2"/>
      <c r="E220" s="4"/>
      <c r="F220" s="627"/>
      <c r="G220" s="4"/>
      <c r="H220" s="285"/>
    </row>
    <row r="221" spans="1:8" x14ac:dyDescent="0.2">
      <c r="A221" s="284" t="s">
        <v>1020</v>
      </c>
      <c r="B221" s="86"/>
      <c r="C221" s="91" t="s">
        <v>374</v>
      </c>
      <c r="D221" s="86" t="s">
        <v>371</v>
      </c>
      <c r="E221" s="87">
        <v>4</v>
      </c>
      <c r="F221" s="627">
        <v>1157.4000000000001</v>
      </c>
      <c r="G221" s="88">
        <f t="shared" ref="G221:G263" si="8">F221*E221</f>
        <v>4629.6000000000004</v>
      </c>
      <c r="H221" s="286"/>
    </row>
    <row r="222" spans="1:8" x14ac:dyDescent="0.2">
      <c r="A222" s="284" t="s">
        <v>1021</v>
      </c>
      <c r="B222" s="86"/>
      <c r="C222" s="91" t="s">
        <v>375</v>
      </c>
      <c r="D222" s="86" t="s">
        <v>371</v>
      </c>
      <c r="E222" s="87">
        <v>1</v>
      </c>
      <c r="F222" s="627">
        <v>9.3000000000000007</v>
      </c>
      <c r="G222" s="88">
        <f t="shared" si="8"/>
        <v>9.3000000000000007</v>
      </c>
      <c r="H222" s="286"/>
    </row>
    <row r="223" spans="1:8" x14ac:dyDescent="0.2">
      <c r="A223" s="284" t="s">
        <v>1022</v>
      </c>
      <c r="B223" s="86"/>
      <c r="C223" s="91" t="s">
        <v>376</v>
      </c>
      <c r="D223" s="86" t="s">
        <v>371</v>
      </c>
      <c r="E223" s="87">
        <v>6</v>
      </c>
      <c r="F223" s="627">
        <v>5.76</v>
      </c>
      <c r="G223" s="88">
        <f t="shared" si="8"/>
        <v>34.56</v>
      </c>
      <c r="H223" s="286"/>
    </row>
    <row r="224" spans="1:8" x14ac:dyDescent="0.2">
      <c r="A224" s="284" t="s">
        <v>1023</v>
      </c>
      <c r="B224" s="86"/>
      <c r="C224" s="91" t="s">
        <v>377</v>
      </c>
      <c r="D224" s="86" t="s">
        <v>371</v>
      </c>
      <c r="E224" s="87">
        <v>6</v>
      </c>
      <c r="F224" s="627">
        <v>5.76</v>
      </c>
      <c r="G224" s="88">
        <f t="shared" si="8"/>
        <v>34.56</v>
      </c>
      <c r="H224" s="286"/>
    </row>
    <row r="225" spans="1:8" x14ac:dyDescent="0.2">
      <c r="A225" s="284" t="s">
        <v>1024</v>
      </c>
      <c r="B225" s="86"/>
      <c r="C225" s="91" t="s">
        <v>378</v>
      </c>
      <c r="D225" s="86" t="s">
        <v>371</v>
      </c>
      <c r="E225" s="87">
        <v>6</v>
      </c>
      <c r="F225" s="627">
        <v>29.27</v>
      </c>
      <c r="G225" s="88">
        <f t="shared" si="8"/>
        <v>175.62</v>
      </c>
      <c r="H225" s="285"/>
    </row>
    <row r="226" spans="1:8" x14ac:dyDescent="0.2">
      <c r="A226" s="284" t="s">
        <v>1025</v>
      </c>
      <c r="B226" s="86"/>
      <c r="C226" s="91" t="s">
        <v>379</v>
      </c>
      <c r="D226" s="86" t="s">
        <v>371</v>
      </c>
      <c r="E226" s="87">
        <v>2</v>
      </c>
      <c r="F226" s="627">
        <v>5.76</v>
      </c>
      <c r="G226" s="88">
        <f t="shared" si="8"/>
        <v>11.52</v>
      </c>
      <c r="H226" s="286"/>
    </row>
    <row r="227" spans="1:8" x14ac:dyDescent="0.2">
      <c r="A227" s="284" t="s">
        <v>1026</v>
      </c>
      <c r="B227" s="86"/>
      <c r="C227" s="91" t="s">
        <v>380</v>
      </c>
      <c r="D227" s="86" t="s">
        <v>371</v>
      </c>
      <c r="E227" s="87">
        <v>1</v>
      </c>
      <c r="F227" s="627">
        <v>5.0599999999999996</v>
      </c>
      <c r="G227" s="88">
        <f t="shared" si="8"/>
        <v>5.0599999999999996</v>
      </c>
      <c r="H227" s="286"/>
    </row>
    <row r="228" spans="1:8" x14ac:dyDescent="0.2">
      <c r="A228" s="284" t="s">
        <v>1027</v>
      </c>
      <c r="B228" s="81" t="s">
        <v>381</v>
      </c>
      <c r="C228" s="80" t="s">
        <v>382</v>
      </c>
      <c r="D228" s="2"/>
      <c r="E228" s="4"/>
      <c r="F228" s="627"/>
      <c r="G228" s="4"/>
      <c r="H228" s="285"/>
    </row>
    <row r="229" spans="1:8" x14ac:dyDescent="0.2">
      <c r="A229" s="284" t="s">
        <v>1028</v>
      </c>
      <c r="B229" s="86"/>
      <c r="C229" s="91" t="s">
        <v>383</v>
      </c>
      <c r="D229" s="86" t="s">
        <v>160</v>
      </c>
      <c r="E229" s="87">
        <v>890</v>
      </c>
      <c r="F229" s="627">
        <v>5.88</v>
      </c>
      <c r="G229" s="88">
        <f t="shared" si="8"/>
        <v>5233.2</v>
      </c>
      <c r="H229" s="286"/>
    </row>
    <row r="230" spans="1:8" x14ac:dyDescent="0.2">
      <c r="A230" s="284" t="s">
        <v>1029</v>
      </c>
      <c r="B230" s="86"/>
      <c r="C230" s="91" t="s">
        <v>384</v>
      </c>
      <c r="D230" s="86" t="s">
        <v>160</v>
      </c>
      <c r="E230" s="87">
        <v>8</v>
      </c>
      <c r="F230" s="627">
        <v>4.5599999999999996</v>
      </c>
      <c r="G230" s="88">
        <f t="shared" si="8"/>
        <v>36.479999999999997</v>
      </c>
      <c r="H230" s="286"/>
    </row>
    <row r="231" spans="1:8" ht="13.5" thickBot="1" x14ac:dyDescent="0.25">
      <c r="A231" s="303" t="s">
        <v>1030</v>
      </c>
      <c r="B231" s="362" t="s">
        <v>117</v>
      </c>
      <c r="C231" s="363" t="s">
        <v>385</v>
      </c>
      <c r="D231" s="364"/>
      <c r="E231" s="365"/>
      <c r="F231" s="628"/>
      <c r="G231" s="365"/>
      <c r="H231" s="320"/>
    </row>
    <row r="232" spans="1:8" x14ac:dyDescent="0.2">
      <c r="A232" s="369" t="s">
        <v>1031</v>
      </c>
      <c r="B232" s="370"/>
      <c r="C232" s="371" t="s">
        <v>386</v>
      </c>
      <c r="D232" s="370" t="s">
        <v>371</v>
      </c>
      <c r="E232" s="372">
        <v>41</v>
      </c>
      <c r="F232" s="635">
        <v>37.42</v>
      </c>
      <c r="G232" s="373">
        <f t="shared" si="8"/>
        <v>1534.22</v>
      </c>
      <c r="H232" s="374"/>
    </row>
    <row r="233" spans="1:8" x14ac:dyDescent="0.2">
      <c r="A233" s="343" t="s">
        <v>1032</v>
      </c>
      <c r="B233" s="327"/>
      <c r="C233" s="366" t="s">
        <v>387</v>
      </c>
      <c r="D233" s="327" t="s">
        <v>371</v>
      </c>
      <c r="E233" s="367">
        <v>48</v>
      </c>
      <c r="F233" s="632">
        <v>50.75</v>
      </c>
      <c r="G233" s="331">
        <f t="shared" si="8"/>
        <v>2436</v>
      </c>
      <c r="H233" s="344"/>
    </row>
    <row r="234" spans="1:8" x14ac:dyDescent="0.2">
      <c r="A234" s="300" t="s">
        <v>1033</v>
      </c>
      <c r="B234" s="357"/>
      <c r="C234" s="358" t="s">
        <v>388</v>
      </c>
      <c r="D234" s="357" t="s">
        <v>371</v>
      </c>
      <c r="E234" s="271">
        <v>35</v>
      </c>
      <c r="F234" s="634">
        <v>42.28</v>
      </c>
      <c r="G234" s="273">
        <f t="shared" si="8"/>
        <v>1479.8</v>
      </c>
      <c r="H234" s="317"/>
    </row>
    <row r="235" spans="1:8" x14ac:dyDescent="0.2">
      <c r="A235" s="284" t="s">
        <v>1034</v>
      </c>
      <c r="B235" s="86"/>
      <c r="C235" s="91" t="s">
        <v>389</v>
      </c>
      <c r="D235" s="86" t="s">
        <v>371</v>
      </c>
      <c r="E235" s="87">
        <v>15</v>
      </c>
      <c r="F235" s="627">
        <v>69.36</v>
      </c>
      <c r="G235" s="88">
        <f t="shared" si="8"/>
        <v>1040.4000000000001</v>
      </c>
      <c r="H235" s="286"/>
    </row>
    <row r="236" spans="1:8" x14ac:dyDescent="0.2">
      <c r="A236" s="284" t="s">
        <v>1035</v>
      </c>
      <c r="B236" s="81" t="s">
        <v>390</v>
      </c>
      <c r="C236" s="80" t="s">
        <v>391</v>
      </c>
      <c r="D236" s="2"/>
      <c r="E236" s="4"/>
      <c r="F236" s="627"/>
      <c r="G236" s="4"/>
      <c r="H236" s="286"/>
    </row>
    <row r="237" spans="1:8" x14ac:dyDescent="0.2">
      <c r="A237" s="284" t="s">
        <v>1036</v>
      </c>
      <c r="B237" s="86"/>
      <c r="C237" s="91" t="s">
        <v>392</v>
      </c>
      <c r="D237" s="86" t="s">
        <v>371</v>
      </c>
      <c r="E237" s="87">
        <v>41</v>
      </c>
      <c r="F237" s="627">
        <v>42.28</v>
      </c>
      <c r="G237" s="88">
        <f t="shared" si="8"/>
        <v>1733.48</v>
      </c>
      <c r="H237" s="285"/>
    </row>
    <row r="238" spans="1:8" x14ac:dyDescent="0.2">
      <c r="A238" s="284" t="s">
        <v>1037</v>
      </c>
      <c r="B238" s="86"/>
      <c r="C238" s="91" t="s">
        <v>393</v>
      </c>
      <c r="D238" s="86" t="s">
        <v>371</v>
      </c>
      <c r="E238" s="87">
        <v>2</v>
      </c>
      <c r="F238" s="627">
        <v>84.57</v>
      </c>
      <c r="G238" s="88">
        <f t="shared" si="8"/>
        <v>169.14</v>
      </c>
      <c r="H238" s="286"/>
    </row>
    <row r="239" spans="1:8" x14ac:dyDescent="0.2">
      <c r="A239" s="284" t="s">
        <v>1038</v>
      </c>
      <c r="B239" s="81" t="s">
        <v>118</v>
      </c>
      <c r="C239" s="80" t="s">
        <v>394</v>
      </c>
      <c r="D239" s="2"/>
      <c r="E239" s="4"/>
      <c r="F239" s="627"/>
      <c r="G239" s="4"/>
      <c r="H239" s="286"/>
    </row>
    <row r="240" spans="1:8" x14ac:dyDescent="0.2">
      <c r="A240" s="284" t="s">
        <v>1039</v>
      </c>
      <c r="B240" s="86"/>
      <c r="C240" s="91" t="s">
        <v>395</v>
      </c>
      <c r="D240" s="86" t="s">
        <v>371</v>
      </c>
      <c r="E240" s="87">
        <v>2</v>
      </c>
      <c r="F240" s="627">
        <v>21.39</v>
      </c>
      <c r="G240" s="88">
        <f t="shared" si="8"/>
        <v>42.78</v>
      </c>
      <c r="H240" s="286"/>
    </row>
    <row r="241" spans="1:8" x14ac:dyDescent="0.2">
      <c r="A241" s="284" t="s">
        <v>1040</v>
      </c>
      <c r="B241" s="86"/>
      <c r="C241" s="91" t="s">
        <v>396</v>
      </c>
      <c r="D241" s="86" t="s">
        <v>371</v>
      </c>
      <c r="E241" s="87">
        <v>1</v>
      </c>
      <c r="F241" s="627">
        <v>363.69</v>
      </c>
      <c r="G241" s="88">
        <f t="shared" si="8"/>
        <v>363.69</v>
      </c>
      <c r="H241" s="286"/>
    </row>
    <row r="242" spans="1:8" x14ac:dyDescent="0.2">
      <c r="A242" s="284" t="s">
        <v>1041</v>
      </c>
      <c r="B242" s="97"/>
      <c r="C242" s="105" t="s">
        <v>578</v>
      </c>
      <c r="D242" s="97" t="s">
        <v>371</v>
      </c>
      <c r="E242" s="87">
        <v>2</v>
      </c>
      <c r="F242" s="627">
        <v>507.47</v>
      </c>
      <c r="G242" s="88">
        <f t="shared" si="8"/>
        <v>1014.94</v>
      </c>
      <c r="H242" s="286"/>
    </row>
    <row r="243" spans="1:8" x14ac:dyDescent="0.2">
      <c r="A243" s="284" t="s">
        <v>1042</v>
      </c>
      <c r="B243" s="97"/>
      <c r="C243" s="91" t="s">
        <v>397</v>
      </c>
      <c r="D243" s="86" t="s">
        <v>371</v>
      </c>
      <c r="E243" s="87">
        <v>1</v>
      </c>
      <c r="F243" s="627">
        <v>4.28</v>
      </c>
      <c r="G243" s="88">
        <f t="shared" si="8"/>
        <v>4.28</v>
      </c>
      <c r="H243" s="286"/>
    </row>
    <row r="244" spans="1:8" x14ac:dyDescent="0.2">
      <c r="A244" s="284" t="s">
        <v>1043</v>
      </c>
      <c r="B244" s="86"/>
      <c r="C244" s="91" t="s">
        <v>398</v>
      </c>
      <c r="D244" s="86" t="s">
        <v>371</v>
      </c>
      <c r="E244" s="87">
        <v>13</v>
      </c>
      <c r="F244" s="627">
        <v>4.22</v>
      </c>
      <c r="G244" s="88">
        <f t="shared" si="8"/>
        <v>54.86</v>
      </c>
      <c r="H244" s="286"/>
    </row>
    <row r="245" spans="1:8" x14ac:dyDescent="0.2">
      <c r="A245" s="284" t="s">
        <v>1044</v>
      </c>
      <c r="B245" s="86"/>
      <c r="C245" s="91" t="s">
        <v>399</v>
      </c>
      <c r="D245" s="86" t="s">
        <v>371</v>
      </c>
      <c r="E245" s="87">
        <v>1</v>
      </c>
      <c r="F245" s="627">
        <v>4.22</v>
      </c>
      <c r="G245" s="88">
        <f t="shared" si="8"/>
        <v>4.22</v>
      </c>
      <c r="H245" s="286"/>
    </row>
    <row r="246" spans="1:8" x14ac:dyDescent="0.2">
      <c r="A246" s="284" t="s">
        <v>1045</v>
      </c>
      <c r="B246" s="86"/>
      <c r="C246" s="91" t="s">
        <v>400</v>
      </c>
      <c r="D246" s="86" t="s">
        <v>371</v>
      </c>
      <c r="E246" s="87">
        <v>1</v>
      </c>
      <c r="F246" s="627">
        <v>4.4000000000000004</v>
      </c>
      <c r="G246" s="88">
        <f t="shared" si="8"/>
        <v>4.4000000000000004</v>
      </c>
      <c r="H246" s="286"/>
    </row>
    <row r="247" spans="1:8" x14ac:dyDescent="0.2">
      <c r="A247" s="284" t="s">
        <v>1046</v>
      </c>
      <c r="B247" s="86"/>
      <c r="C247" s="91" t="s">
        <v>579</v>
      </c>
      <c r="D247" s="86" t="s">
        <v>371</v>
      </c>
      <c r="E247" s="87">
        <v>14</v>
      </c>
      <c r="F247" s="627">
        <v>3.72</v>
      </c>
      <c r="G247" s="88">
        <f t="shared" si="8"/>
        <v>52.080000000000005</v>
      </c>
      <c r="H247" s="286"/>
    </row>
    <row r="248" spans="1:8" x14ac:dyDescent="0.2">
      <c r="A248" s="284" t="s">
        <v>1047</v>
      </c>
      <c r="B248" s="81" t="s">
        <v>402</v>
      </c>
      <c r="C248" s="80" t="s">
        <v>133</v>
      </c>
      <c r="D248" s="2"/>
      <c r="E248" s="4"/>
      <c r="F248" s="627"/>
      <c r="G248" s="4"/>
      <c r="H248" s="286"/>
    </row>
    <row r="249" spans="1:8" x14ac:dyDescent="0.2">
      <c r="A249" s="284" t="s">
        <v>1048</v>
      </c>
      <c r="B249" s="86"/>
      <c r="C249" s="103" t="s">
        <v>580</v>
      </c>
      <c r="D249" s="89"/>
      <c r="E249" s="88"/>
      <c r="F249" s="627"/>
      <c r="G249" s="88"/>
      <c r="H249" s="286"/>
    </row>
    <row r="250" spans="1:8" x14ac:dyDescent="0.2">
      <c r="A250" s="284" t="s">
        <v>1049</v>
      </c>
      <c r="B250" s="86"/>
      <c r="C250" s="91" t="s">
        <v>403</v>
      </c>
      <c r="D250" s="86" t="s">
        <v>160</v>
      </c>
      <c r="E250" s="106">
        <v>1</v>
      </c>
      <c r="F250" s="627">
        <v>9.9700000000000006</v>
      </c>
      <c r="G250" s="88">
        <f t="shared" si="8"/>
        <v>9.9700000000000006</v>
      </c>
      <c r="H250" s="286"/>
    </row>
    <row r="251" spans="1:8" x14ac:dyDescent="0.2">
      <c r="A251" s="284" t="s">
        <v>1050</v>
      </c>
      <c r="B251" s="86"/>
      <c r="C251" s="91" t="s">
        <v>404</v>
      </c>
      <c r="D251" s="86" t="s">
        <v>160</v>
      </c>
      <c r="E251" s="106">
        <v>70</v>
      </c>
      <c r="F251" s="627">
        <v>7.28</v>
      </c>
      <c r="G251" s="88">
        <f t="shared" si="8"/>
        <v>509.6</v>
      </c>
      <c r="H251" s="286"/>
    </row>
    <row r="252" spans="1:8" x14ac:dyDescent="0.2">
      <c r="A252" s="284" t="s">
        <v>1051</v>
      </c>
      <c r="B252" s="86"/>
      <c r="C252" s="103" t="s">
        <v>405</v>
      </c>
      <c r="D252" s="89"/>
      <c r="E252" s="88"/>
      <c r="F252" s="627"/>
      <c r="G252" s="88"/>
      <c r="H252" s="286"/>
    </row>
    <row r="253" spans="1:8" x14ac:dyDescent="0.2">
      <c r="A253" s="284" t="s">
        <v>1052</v>
      </c>
      <c r="B253" s="86"/>
      <c r="C253" s="91" t="s">
        <v>404</v>
      </c>
      <c r="D253" s="86" t="s">
        <v>160</v>
      </c>
      <c r="E253" s="106">
        <v>10</v>
      </c>
      <c r="F253" s="627">
        <v>43.98</v>
      </c>
      <c r="G253" s="88">
        <f t="shared" si="8"/>
        <v>439.79999999999995</v>
      </c>
      <c r="H253" s="286"/>
    </row>
    <row r="254" spans="1:8" x14ac:dyDescent="0.2">
      <c r="A254" s="284" t="s">
        <v>1053</v>
      </c>
      <c r="B254" s="86"/>
      <c r="C254" s="103" t="s">
        <v>406</v>
      </c>
      <c r="D254" s="89"/>
      <c r="E254" s="88"/>
      <c r="F254" s="627"/>
      <c r="G254" s="88"/>
      <c r="H254" s="286"/>
    </row>
    <row r="255" spans="1:8" x14ac:dyDescent="0.2">
      <c r="A255" s="284" t="s">
        <v>1054</v>
      </c>
      <c r="B255" s="86"/>
      <c r="C255" s="91" t="s">
        <v>404</v>
      </c>
      <c r="D255" s="86" t="s">
        <v>160</v>
      </c>
      <c r="E255" s="106">
        <v>45</v>
      </c>
      <c r="F255" s="627">
        <v>43.98</v>
      </c>
      <c r="G255" s="88">
        <f t="shared" si="8"/>
        <v>1979.1</v>
      </c>
      <c r="H255" s="286"/>
    </row>
    <row r="256" spans="1:8" x14ac:dyDescent="0.2">
      <c r="A256" s="284" t="s">
        <v>1055</v>
      </c>
      <c r="B256" s="86"/>
      <c r="C256" s="103" t="s">
        <v>581</v>
      </c>
      <c r="D256" s="89"/>
      <c r="E256" s="88"/>
      <c r="F256" s="627"/>
      <c r="G256" s="88"/>
      <c r="H256" s="289"/>
    </row>
    <row r="257" spans="1:8" x14ac:dyDescent="0.2">
      <c r="A257" s="284" t="s">
        <v>1056</v>
      </c>
      <c r="B257" s="86"/>
      <c r="C257" s="103" t="s">
        <v>407</v>
      </c>
      <c r="D257" s="89"/>
      <c r="E257" s="88"/>
      <c r="F257" s="627"/>
      <c r="G257" s="88"/>
      <c r="H257" s="289"/>
    </row>
    <row r="258" spans="1:8" x14ac:dyDescent="0.2">
      <c r="A258" s="284" t="s">
        <v>1057</v>
      </c>
      <c r="B258" s="86"/>
      <c r="C258" s="91" t="s">
        <v>404</v>
      </c>
      <c r="D258" s="86" t="s">
        <v>172</v>
      </c>
      <c r="E258" s="106">
        <v>75</v>
      </c>
      <c r="F258" s="627">
        <v>4.7300000000000004</v>
      </c>
      <c r="G258" s="88">
        <f t="shared" si="8"/>
        <v>354.75000000000006</v>
      </c>
      <c r="H258" s="289"/>
    </row>
    <row r="259" spans="1:8" x14ac:dyDescent="0.2">
      <c r="A259" s="284" t="s">
        <v>1058</v>
      </c>
      <c r="B259" s="86"/>
      <c r="C259" s="91" t="s">
        <v>408</v>
      </c>
      <c r="D259" s="86" t="s">
        <v>172</v>
      </c>
      <c r="E259" s="106">
        <v>75</v>
      </c>
      <c r="F259" s="627">
        <v>2.8</v>
      </c>
      <c r="G259" s="88">
        <f t="shared" si="8"/>
        <v>210</v>
      </c>
      <c r="H259" s="289"/>
    </row>
    <row r="260" spans="1:8" x14ac:dyDescent="0.2">
      <c r="A260" s="284" t="s">
        <v>1059</v>
      </c>
      <c r="B260" s="86"/>
      <c r="C260" s="91" t="s">
        <v>409</v>
      </c>
      <c r="D260" s="86" t="s">
        <v>172</v>
      </c>
      <c r="E260" s="106">
        <v>75</v>
      </c>
      <c r="F260" s="627">
        <v>0.28999999999999998</v>
      </c>
      <c r="G260" s="88">
        <f t="shared" si="8"/>
        <v>21.75</v>
      </c>
      <c r="H260" s="289"/>
    </row>
    <row r="261" spans="1:8" x14ac:dyDescent="0.2">
      <c r="A261" s="284" t="s">
        <v>1060</v>
      </c>
      <c r="B261" s="86"/>
      <c r="C261" s="91" t="s">
        <v>410</v>
      </c>
      <c r="D261" s="86" t="s">
        <v>172</v>
      </c>
      <c r="E261" s="106">
        <v>75</v>
      </c>
      <c r="F261" s="627">
        <v>0.66</v>
      </c>
      <c r="G261" s="88">
        <f t="shared" si="8"/>
        <v>49.5</v>
      </c>
      <c r="H261" s="289"/>
    </row>
    <row r="262" spans="1:8" x14ac:dyDescent="0.2">
      <c r="A262" s="284" t="s">
        <v>1061</v>
      </c>
      <c r="B262" s="86"/>
      <c r="C262" s="91" t="s">
        <v>411</v>
      </c>
      <c r="D262" s="86" t="s">
        <v>172</v>
      </c>
      <c r="E262" s="106">
        <v>75</v>
      </c>
      <c r="F262" s="627">
        <v>0.09</v>
      </c>
      <c r="G262" s="88">
        <f t="shared" si="8"/>
        <v>6.75</v>
      </c>
      <c r="H262" s="289"/>
    </row>
    <row r="263" spans="1:8" x14ac:dyDescent="0.2">
      <c r="A263" s="284" t="s">
        <v>1062</v>
      </c>
      <c r="B263" s="86"/>
      <c r="C263" s="91" t="s">
        <v>412</v>
      </c>
      <c r="D263" s="86" t="s">
        <v>172</v>
      </c>
      <c r="E263" s="106">
        <v>100</v>
      </c>
      <c r="F263" s="627">
        <v>0.08</v>
      </c>
      <c r="G263" s="88">
        <f t="shared" si="8"/>
        <v>8</v>
      </c>
      <c r="H263" s="289"/>
    </row>
    <row r="264" spans="1:8" x14ac:dyDescent="0.2">
      <c r="A264" s="284"/>
      <c r="B264" s="93"/>
      <c r="C264" s="80" t="s">
        <v>130</v>
      </c>
      <c r="D264" s="76"/>
      <c r="E264" s="76"/>
      <c r="F264" s="627"/>
      <c r="G264" s="96">
        <f>SUM(G221:G263)</f>
        <v>23693.409999999996</v>
      </c>
      <c r="H264" s="289"/>
    </row>
    <row r="265" spans="1:8" x14ac:dyDescent="0.2">
      <c r="A265" s="284" t="s">
        <v>1063</v>
      </c>
      <c r="B265" s="81" t="s">
        <v>413</v>
      </c>
      <c r="C265" s="80" t="s">
        <v>415</v>
      </c>
      <c r="D265" s="103"/>
      <c r="E265" s="103"/>
      <c r="F265" s="627"/>
      <c r="G265" s="103"/>
      <c r="H265" s="289"/>
    </row>
    <row r="266" spans="1:8" ht="25.5" x14ac:dyDescent="0.2">
      <c r="A266" s="284" t="s">
        <v>1064</v>
      </c>
      <c r="B266" s="86"/>
      <c r="C266" s="104" t="s">
        <v>416</v>
      </c>
      <c r="D266" s="97" t="s">
        <v>172</v>
      </c>
      <c r="E266" s="87">
        <v>12</v>
      </c>
      <c r="F266" s="627">
        <v>109.95</v>
      </c>
      <c r="G266" s="85">
        <f t="shared" ref="G266:G288" si="9">F266*E266</f>
        <v>1319.4</v>
      </c>
      <c r="H266" s="289"/>
    </row>
    <row r="267" spans="1:8" x14ac:dyDescent="0.2">
      <c r="A267" s="284" t="s">
        <v>1065</v>
      </c>
      <c r="B267" s="86"/>
      <c r="C267" s="63" t="s">
        <v>417</v>
      </c>
      <c r="D267" s="86" t="s">
        <v>172</v>
      </c>
      <c r="E267" s="87">
        <v>6</v>
      </c>
      <c r="F267" s="627">
        <v>17.760000000000002</v>
      </c>
      <c r="G267" s="85">
        <f t="shared" si="9"/>
        <v>106.56</v>
      </c>
      <c r="H267" s="289"/>
    </row>
    <row r="268" spans="1:8" x14ac:dyDescent="0.2">
      <c r="A268" s="284" t="s">
        <v>1066</v>
      </c>
      <c r="B268" s="86"/>
      <c r="C268" s="63" t="s">
        <v>418</v>
      </c>
      <c r="D268" s="86" t="s">
        <v>172</v>
      </c>
      <c r="E268" s="87">
        <v>1</v>
      </c>
      <c r="F268" s="627">
        <v>49.9</v>
      </c>
      <c r="G268" s="85">
        <f t="shared" si="9"/>
        <v>49.9</v>
      </c>
      <c r="H268" s="289"/>
    </row>
    <row r="269" spans="1:8" x14ac:dyDescent="0.2">
      <c r="A269" s="284" t="s">
        <v>1067</v>
      </c>
      <c r="B269" s="86"/>
      <c r="C269" s="63" t="s">
        <v>419</v>
      </c>
      <c r="D269" s="86" t="s">
        <v>172</v>
      </c>
      <c r="E269" s="87">
        <v>2</v>
      </c>
      <c r="F269" s="627">
        <v>42.28</v>
      </c>
      <c r="G269" s="85">
        <f t="shared" si="9"/>
        <v>84.56</v>
      </c>
      <c r="H269" s="289"/>
    </row>
    <row r="270" spans="1:8" x14ac:dyDescent="0.2">
      <c r="A270" s="284" t="s">
        <v>1068</v>
      </c>
      <c r="B270" s="86"/>
      <c r="C270" s="63" t="s">
        <v>401</v>
      </c>
      <c r="D270" s="86" t="s">
        <v>172</v>
      </c>
      <c r="E270" s="87">
        <v>15</v>
      </c>
      <c r="F270" s="627">
        <v>5.24</v>
      </c>
      <c r="G270" s="85">
        <f t="shared" si="9"/>
        <v>78.600000000000009</v>
      </c>
      <c r="H270" s="291"/>
    </row>
    <row r="271" spans="1:8" x14ac:dyDescent="0.2">
      <c r="A271" s="284" t="s">
        <v>1069</v>
      </c>
      <c r="B271" s="86"/>
      <c r="C271" s="63" t="s">
        <v>420</v>
      </c>
      <c r="D271" s="86" t="s">
        <v>172</v>
      </c>
      <c r="E271" s="87">
        <v>4</v>
      </c>
      <c r="F271" s="627">
        <v>6.17</v>
      </c>
      <c r="G271" s="85">
        <f t="shared" si="9"/>
        <v>24.68</v>
      </c>
      <c r="H271" s="289"/>
    </row>
    <row r="272" spans="1:8" x14ac:dyDescent="0.2">
      <c r="A272" s="284" t="s">
        <v>1070</v>
      </c>
      <c r="B272" s="86"/>
      <c r="C272" s="63" t="s">
        <v>421</v>
      </c>
      <c r="D272" s="86" t="s">
        <v>172</v>
      </c>
      <c r="E272" s="87">
        <v>40</v>
      </c>
      <c r="F272" s="627">
        <v>4.5599999999999996</v>
      </c>
      <c r="G272" s="85">
        <f t="shared" si="9"/>
        <v>182.39999999999998</v>
      </c>
      <c r="H272" s="289"/>
    </row>
    <row r="273" spans="1:8" x14ac:dyDescent="0.2">
      <c r="A273" s="284" t="s">
        <v>1071</v>
      </c>
      <c r="B273" s="86"/>
      <c r="C273" s="63" t="s">
        <v>422</v>
      </c>
      <c r="D273" s="86" t="s">
        <v>172</v>
      </c>
      <c r="E273" s="87">
        <v>20</v>
      </c>
      <c r="F273" s="627">
        <v>20.29</v>
      </c>
      <c r="G273" s="85">
        <f t="shared" si="9"/>
        <v>405.79999999999995</v>
      </c>
      <c r="H273" s="289"/>
    </row>
    <row r="274" spans="1:8" x14ac:dyDescent="0.2">
      <c r="A274" s="284" t="s">
        <v>1072</v>
      </c>
      <c r="B274" s="86"/>
      <c r="C274" s="63" t="s">
        <v>423</v>
      </c>
      <c r="D274" s="86" t="s">
        <v>172</v>
      </c>
      <c r="E274" s="87">
        <v>25</v>
      </c>
      <c r="F274" s="627">
        <v>0.28000000000000003</v>
      </c>
      <c r="G274" s="85">
        <f t="shared" si="9"/>
        <v>7.0000000000000009</v>
      </c>
      <c r="H274" s="289"/>
    </row>
    <row r="275" spans="1:8" ht="13.5" thickBot="1" x14ac:dyDescent="0.25">
      <c r="A275" s="303" t="s">
        <v>1073</v>
      </c>
      <c r="B275" s="361"/>
      <c r="C275" s="375" t="s">
        <v>424</v>
      </c>
      <c r="D275" s="361" t="s">
        <v>172</v>
      </c>
      <c r="E275" s="306">
        <v>160</v>
      </c>
      <c r="F275" s="628">
        <v>0.28000000000000003</v>
      </c>
      <c r="G275" s="313">
        <f t="shared" si="9"/>
        <v>44.800000000000004</v>
      </c>
      <c r="H275" s="308"/>
    </row>
    <row r="276" spans="1:8" x14ac:dyDescent="0.2">
      <c r="A276" s="276" t="s">
        <v>1074</v>
      </c>
      <c r="B276" s="379"/>
      <c r="C276" s="380" t="s">
        <v>425</v>
      </c>
      <c r="D276" s="379" t="s">
        <v>172</v>
      </c>
      <c r="E276" s="280">
        <v>3</v>
      </c>
      <c r="F276" s="629">
        <v>5.76</v>
      </c>
      <c r="G276" s="281">
        <f t="shared" si="9"/>
        <v>17.28</v>
      </c>
      <c r="H276" s="311"/>
    </row>
    <row r="277" spans="1:8" x14ac:dyDescent="0.2">
      <c r="A277" s="284" t="s">
        <v>1075</v>
      </c>
      <c r="B277" s="86"/>
      <c r="C277" s="63" t="s">
        <v>426</v>
      </c>
      <c r="D277" s="86" t="s">
        <v>172</v>
      </c>
      <c r="E277" s="87">
        <v>25</v>
      </c>
      <c r="F277" s="627">
        <v>0.28000000000000003</v>
      </c>
      <c r="G277" s="85">
        <f t="shared" si="9"/>
        <v>7.0000000000000009</v>
      </c>
      <c r="H277" s="289"/>
    </row>
    <row r="278" spans="1:8" ht="25.5" x14ac:dyDescent="0.2">
      <c r="A278" s="284" t="s">
        <v>1076</v>
      </c>
      <c r="B278" s="86"/>
      <c r="C278" s="104" t="s">
        <v>427</v>
      </c>
      <c r="D278" s="86" t="s">
        <v>172</v>
      </c>
      <c r="E278" s="87">
        <v>3</v>
      </c>
      <c r="F278" s="627">
        <v>12.68</v>
      </c>
      <c r="G278" s="85">
        <f t="shared" si="9"/>
        <v>38.04</v>
      </c>
      <c r="H278" s="289"/>
    </row>
    <row r="279" spans="1:8" x14ac:dyDescent="0.2">
      <c r="A279" s="284" t="s">
        <v>1077</v>
      </c>
      <c r="B279" s="86"/>
      <c r="C279" s="63" t="s">
        <v>428</v>
      </c>
      <c r="D279" s="86" t="s">
        <v>172</v>
      </c>
      <c r="E279" s="87">
        <v>300</v>
      </c>
      <c r="F279" s="627">
        <v>0.18</v>
      </c>
      <c r="G279" s="85">
        <f t="shared" si="9"/>
        <v>54</v>
      </c>
      <c r="H279" s="289"/>
    </row>
    <row r="280" spans="1:8" x14ac:dyDescent="0.2">
      <c r="A280" s="284" t="s">
        <v>1078</v>
      </c>
      <c r="B280" s="86"/>
      <c r="C280" s="63" t="s">
        <v>582</v>
      </c>
      <c r="D280" s="86" t="s">
        <v>172</v>
      </c>
      <c r="E280" s="87">
        <v>15</v>
      </c>
      <c r="F280" s="627">
        <v>2.02</v>
      </c>
      <c r="G280" s="85">
        <f t="shared" si="9"/>
        <v>30.3</v>
      </c>
      <c r="H280" s="289"/>
    </row>
    <row r="281" spans="1:8" x14ac:dyDescent="0.2">
      <c r="A281" s="284" t="s">
        <v>1079</v>
      </c>
      <c r="B281" s="81" t="s">
        <v>429</v>
      </c>
      <c r="C281" s="2" t="s">
        <v>430</v>
      </c>
      <c r="D281" s="2"/>
      <c r="E281" s="4"/>
      <c r="F281" s="627"/>
      <c r="G281" s="5"/>
      <c r="H281" s="289"/>
    </row>
    <row r="282" spans="1:8" x14ac:dyDescent="0.2">
      <c r="A282" s="284" t="s">
        <v>1080</v>
      </c>
      <c r="B282" s="86"/>
      <c r="C282" s="63" t="s">
        <v>583</v>
      </c>
      <c r="D282" s="86" t="s">
        <v>172</v>
      </c>
      <c r="E282" s="87">
        <v>10</v>
      </c>
      <c r="F282" s="627">
        <v>11.84</v>
      </c>
      <c r="G282" s="85">
        <f t="shared" si="9"/>
        <v>118.4</v>
      </c>
      <c r="H282" s="289"/>
    </row>
    <row r="283" spans="1:8" x14ac:dyDescent="0.2">
      <c r="A283" s="284" t="s">
        <v>1081</v>
      </c>
      <c r="B283" s="86"/>
      <c r="C283" s="63" t="s">
        <v>584</v>
      </c>
      <c r="D283" s="86" t="s">
        <v>172</v>
      </c>
      <c r="E283" s="87">
        <v>10</v>
      </c>
      <c r="F283" s="627">
        <v>6.77</v>
      </c>
      <c r="G283" s="85">
        <f t="shared" si="9"/>
        <v>67.699999999999989</v>
      </c>
      <c r="H283" s="289"/>
    </row>
    <row r="284" spans="1:8" x14ac:dyDescent="0.2">
      <c r="A284" s="284" t="s">
        <v>1082</v>
      </c>
      <c r="B284" s="86"/>
      <c r="C284" s="63" t="s">
        <v>585</v>
      </c>
      <c r="D284" s="86" t="s">
        <v>172</v>
      </c>
      <c r="E284" s="87">
        <v>20</v>
      </c>
      <c r="F284" s="627">
        <v>30.44</v>
      </c>
      <c r="G284" s="85">
        <f t="shared" si="9"/>
        <v>608.80000000000007</v>
      </c>
      <c r="H284" s="289"/>
    </row>
    <row r="285" spans="1:8" x14ac:dyDescent="0.2">
      <c r="A285" s="284" t="s">
        <v>1083</v>
      </c>
      <c r="B285" s="86"/>
      <c r="C285" s="63" t="s">
        <v>586</v>
      </c>
      <c r="D285" s="86" t="s">
        <v>172</v>
      </c>
      <c r="E285" s="87">
        <v>2</v>
      </c>
      <c r="F285" s="627">
        <v>6.77</v>
      </c>
      <c r="G285" s="85">
        <f t="shared" si="9"/>
        <v>13.54</v>
      </c>
      <c r="H285" s="289"/>
    </row>
    <row r="286" spans="1:8" x14ac:dyDescent="0.2">
      <c r="A286" s="284" t="s">
        <v>1084</v>
      </c>
      <c r="B286" s="86"/>
      <c r="C286" s="63" t="s">
        <v>587</v>
      </c>
      <c r="D286" s="86" t="s">
        <v>371</v>
      </c>
      <c r="E286" s="87">
        <v>40</v>
      </c>
      <c r="F286" s="627">
        <v>1.52</v>
      </c>
      <c r="G286" s="85">
        <f t="shared" si="9"/>
        <v>60.8</v>
      </c>
      <c r="H286" s="289"/>
    </row>
    <row r="287" spans="1:8" x14ac:dyDescent="0.2">
      <c r="A287" s="284" t="s">
        <v>1085</v>
      </c>
      <c r="B287" s="86"/>
      <c r="C287" s="63" t="s">
        <v>588</v>
      </c>
      <c r="D287" s="86" t="s">
        <v>371</v>
      </c>
      <c r="E287" s="87">
        <v>4</v>
      </c>
      <c r="F287" s="627">
        <v>2.5299999999999998</v>
      </c>
      <c r="G287" s="85">
        <f t="shared" si="9"/>
        <v>10.119999999999999</v>
      </c>
      <c r="H287" s="291"/>
    </row>
    <row r="288" spans="1:8" x14ac:dyDescent="0.2">
      <c r="A288" s="284" t="s">
        <v>1086</v>
      </c>
      <c r="B288" s="86"/>
      <c r="C288" s="63" t="s">
        <v>589</v>
      </c>
      <c r="D288" s="86" t="s">
        <v>371</v>
      </c>
      <c r="E288" s="87">
        <v>7</v>
      </c>
      <c r="F288" s="627">
        <v>3.12</v>
      </c>
      <c r="G288" s="85">
        <f t="shared" si="9"/>
        <v>21.84</v>
      </c>
      <c r="H288" s="289"/>
    </row>
    <row r="289" spans="1:8" x14ac:dyDescent="0.2">
      <c r="A289" s="284"/>
      <c r="B289" s="93"/>
      <c r="C289" s="80" t="s">
        <v>131</v>
      </c>
      <c r="D289" s="76"/>
      <c r="E289" s="76"/>
      <c r="F289" s="627"/>
      <c r="G289" s="96">
        <f>SUM(G266:G288)</f>
        <v>3351.5200000000004</v>
      </c>
      <c r="H289" s="289"/>
    </row>
    <row r="290" spans="1:8" ht="25.5" x14ac:dyDescent="0.2">
      <c r="A290" s="284"/>
      <c r="B290" s="86"/>
      <c r="C290" s="103" t="s">
        <v>434</v>
      </c>
      <c r="D290" s="103"/>
      <c r="E290" s="103"/>
      <c r="F290" s="627"/>
      <c r="G290" s="103"/>
      <c r="H290" s="289"/>
    </row>
    <row r="291" spans="1:8" x14ac:dyDescent="0.2">
      <c r="A291" s="284" t="s">
        <v>1087</v>
      </c>
      <c r="B291" s="81" t="s">
        <v>431</v>
      </c>
      <c r="C291" s="80" t="s">
        <v>432</v>
      </c>
      <c r="D291" s="2"/>
      <c r="E291" s="4"/>
      <c r="F291" s="627"/>
      <c r="G291" s="5"/>
      <c r="H291" s="289"/>
    </row>
    <row r="292" spans="1:8" x14ac:dyDescent="0.2">
      <c r="A292" s="284" t="s">
        <v>1088</v>
      </c>
      <c r="B292" s="86"/>
      <c r="C292" s="107" t="s">
        <v>433</v>
      </c>
      <c r="D292" s="86" t="s">
        <v>371</v>
      </c>
      <c r="E292" s="87">
        <v>41</v>
      </c>
      <c r="F292" s="627">
        <v>14.36</v>
      </c>
      <c r="G292" s="85">
        <f>F292*E292</f>
        <v>588.76</v>
      </c>
      <c r="H292" s="289"/>
    </row>
    <row r="293" spans="1:8" x14ac:dyDescent="0.2">
      <c r="A293" s="284"/>
      <c r="B293" s="86"/>
      <c r="C293" s="80" t="s">
        <v>132</v>
      </c>
      <c r="D293" s="76"/>
      <c r="E293" s="76"/>
      <c r="F293" s="627"/>
      <c r="G293" s="96">
        <f>SUM(G292)</f>
        <v>588.76</v>
      </c>
      <c r="H293" s="287">
        <f>G293+G289+G264+G218+G210+G202+G187+G177+G159+G145+G132+G116+G110+G107+G104</f>
        <v>149757.09000000003</v>
      </c>
    </row>
    <row r="294" spans="1:8" x14ac:dyDescent="0.2">
      <c r="A294" s="284" t="s">
        <v>685</v>
      </c>
      <c r="B294" s="8" t="s">
        <v>529</v>
      </c>
      <c r="C294" s="16" t="s">
        <v>530</v>
      </c>
      <c r="D294" s="63"/>
      <c r="E294" s="87"/>
      <c r="F294" s="627"/>
      <c r="G294" s="88"/>
      <c r="H294" s="286"/>
    </row>
    <row r="295" spans="1:8" x14ac:dyDescent="0.2">
      <c r="A295" s="284" t="s">
        <v>686</v>
      </c>
      <c r="B295" s="8" t="s">
        <v>344</v>
      </c>
      <c r="C295" s="16" t="s">
        <v>345</v>
      </c>
      <c r="D295" s="63"/>
      <c r="E295" s="87"/>
      <c r="F295" s="627"/>
      <c r="G295" s="88"/>
      <c r="H295" s="286"/>
    </row>
    <row r="296" spans="1:8" x14ac:dyDescent="0.2">
      <c r="A296" s="284" t="s">
        <v>798</v>
      </c>
      <c r="B296" s="8" t="s">
        <v>168</v>
      </c>
      <c r="C296" s="16" t="s">
        <v>169</v>
      </c>
      <c r="D296" s="63"/>
      <c r="E296" s="87"/>
      <c r="F296" s="627"/>
      <c r="G296" s="88"/>
      <c r="H296" s="286"/>
    </row>
    <row r="297" spans="1:8" x14ac:dyDescent="0.2">
      <c r="A297" s="284" t="s">
        <v>1089</v>
      </c>
      <c r="B297" s="8" t="s">
        <v>170</v>
      </c>
      <c r="C297" s="80" t="s">
        <v>148</v>
      </c>
      <c r="D297" s="63"/>
      <c r="E297" s="87"/>
      <c r="F297" s="627"/>
      <c r="G297" s="88"/>
      <c r="H297" s="286"/>
    </row>
    <row r="298" spans="1:8" ht="14.25" x14ac:dyDescent="0.2">
      <c r="A298" s="284" t="s">
        <v>1090</v>
      </c>
      <c r="B298" s="108"/>
      <c r="C298" s="63" t="s">
        <v>174</v>
      </c>
      <c r="D298" s="86" t="s">
        <v>371</v>
      </c>
      <c r="E298" s="87">
        <v>3</v>
      </c>
      <c r="F298" s="627">
        <v>14.58</v>
      </c>
      <c r="G298" s="88">
        <f>F298*E298</f>
        <v>43.74</v>
      </c>
      <c r="H298" s="286"/>
    </row>
    <row r="299" spans="1:8" ht="14.25" x14ac:dyDescent="0.2">
      <c r="A299" s="284" t="s">
        <v>1091</v>
      </c>
      <c r="B299" s="108"/>
      <c r="C299" s="63" t="s">
        <v>175</v>
      </c>
      <c r="D299" s="86" t="s">
        <v>371</v>
      </c>
      <c r="E299" s="87">
        <v>1</v>
      </c>
      <c r="F299" s="627">
        <v>24.09</v>
      </c>
      <c r="G299" s="88">
        <f>F299*E299</f>
        <v>24.09</v>
      </c>
      <c r="H299" s="286"/>
    </row>
    <row r="300" spans="1:8" ht="14.25" x14ac:dyDescent="0.2">
      <c r="A300" s="284"/>
      <c r="B300" s="108"/>
      <c r="C300" s="80" t="s">
        <v>1343</v>
      </c>
      <c r="D300" s="86"/>
      <c r="E300" s="87"/>
      <c r="F300" s="627"/>
      <c r="G300" s="96">
        <f>SUM(G298:G299)</f>
        <v>67.83</v>
      </c>
      <c r="H300" s="286"/>
    </row>
    <row r="301" spans="1:8" x14ac:dyDescent="0.2">
      <c r="A301" s="284" t="s">
        <v>688</v>
      </c>
      <c r="B301" s="8" t="s">
        <v>257</v>
      </c>
      <c r="C301" s="174">
        <f>SUM(G298:G299)</f>
        <v>67.83</v>
      </c>
      <c r="D301" s="1"/>
      <c r="E301" s="3"/>
      <c r="F301" s="627"/>
      <c r="G301" s="3"/>
      <c r="H301" s="286"/>
    </row>
    <row r="302" spans="1:8" ht="25.5" x14ac:dyDescent="0.2">
      <c r="A302" s="284" t="s">
        <v>689</v>
      </c>
      <c r="B302" s="97"/>
      <c r="C302" s="104" t="s">
        <v>275</v>
      </c>
      <c r="D302" s="97" t="s">
        <v>172</v>
      </c>
      <c r="E302" s="87">
        <v>2</v>
      </c>
      <c r="F302" s="627">
        <v>890.3</v>
      </c>
      <c r="G302" s="88">
        <f>F302*E302</f>
        <v>1780.6</v>
      </c>
      <c r="H302" s="286"/>
    </row>
    <row r="303" spans="1:8" x14ac:dyDescent="0.2">
      <c r="A303" s="284" t="s">
        <v>1092</v>
      </c>
      <c r="B303" s="97"/>
      <c r="C303" s="99" t="s">
        <v>276</v>
      </c>
      <c r="D303" s="97" t="s">
        <v>172</v>
      </c>
      <c r="E303" s="87">
        <v>1</v>
      </c>
      <c r="F303" s="627">
        <v>80.510000000000005</v>
      </c>
      <c r="G303" s="88">
        <f>F303*E303</f>
        <v>80.510000000000005</v>
      </c>
      <c r="H303" s="285"/>
    </row>
    <row r="304" spans="1:8" x14ac:dyDescent="0.2">
      <c r="A304" s="284" t="s">
        <v>1093</v>
      </c>
      <c r="B304" s="97"/>
      <c r="C304" s="99" t="s">
        <v>277</v>
      </c>
      <c r="D304" s="97" t="s">
        <v>172</v>
      </c>
      <c r="E304" s="87">
        <v>2</v>
      </c>
      <c r="F304" s="627">
        <v>80.510000000000005</v>
      </c>
      <c r="G304" s="88">
        <f>F304*E304</f>
        <v>161.02000000000001</v>
      </c>
      <c r="H304" s="286"/>
    </row>
    <row r="305" spans="1:10" x14ac:dyDescent="0.2">
      <c r="A305" s="284"/>
      <c r="B305" s="2"/>
      <c r="C305" s="80" t="s">
        <v>134</v>
      </c>
      <c r="D305" s="76"/>
      <c r="E305" s="76"/>
      <c r="F305" s="627"/>
      <c r="G305" s="96">
        <f>SUM(G302:G304)</f>
        <v>2022.1299999999999</v>
      </c>
      <c r="H305" s="287">
        <f>SUM(G300+G305)</f>
        <v>2089.96</v>
      </c>
    </row>
    <row r="306" spans="1:10" x14ac:dyDescent="0.2">
      <c r="A306" s="284" t="s">
        <v>690</v>
      </c>
      <c r="B306" s="81" t="s">
        <v>348</v>
      </c>
      <c r="C306" s="16" t="s">
        <v>1094</v>
      </c>
      <c r="D306" s="81"/>
      <c r="E306" s="81"/>
      <c r="F306" s="627"/>
      <c r="G306" s="4"/>
      <c r="H306" s="286"/>
      <c r="J306" s="173"/>
    </row>
    <row r="307" spans="1:10" x14ac:dyDescent="0.2">
      <c r="A307" s="284" t="s">
        <v>691</v>
      </c>
      <c r="B307" s="81" t="s">
        <v>532</v>
      </c>
      <c r="C307" s="16" t="s">
        <v>543</v>
      </c>
      <c r="D307" s="81"/>
      <c r="E307" s="81"/>
      <c r="F307" s="627"/>
      <c r="G307" s="4"/>
      <c r="H307" s="285"/>
    </row>
    <row r="308" spans="1:10" x14ac:dyDescent="0.2">
      <c r="A308" s="284" t="s">
        <v>1095</v>
      </c>
      <c r="B308" s="81" t="s">
        <v>533</v>
      </c>
      <c r="C308" s="16" t="s">
        <v>171</v>
      </c>
      <c r="D308" s="81"/>
      <c r="E308" s="87"/>
      <c r="F308" s="627"/>
      <c r="G308" s="4"/>
      <c r="H308" s="286"/>
    </row>
    <row r="309" spans="1:10" x14ac:dyDescent="0.2">
      <c r="A309" s="284" t="s">
        <v>1096</v>
      </c>
      <c r="B309" s="8" t="s">
        <v>534</v>
      </c>
      <c r="C309" s="16" t="s">
        <v>544</v>
      </c>
      <c r="D309" s="93"/>
      <c r="E309" s="87"/>
      <c r="F309" s="627"/>
      <c r="G309" s="4"/>
      <c r="H309" s="286"/>
    </row>
    <row r="310" spans="1:10" x14ac:dyDescent="0.2">
      <c r="A310" s="284" t="s">
        <v>1097</v>
      </c>
      <c r="B310" s="97"/>
      <c r="C310" s="91" t="s">
        <v>545</v>
      </c>
      <c r="D310" s="109" t="s">
        <v>172</v>
      </c>
      <c r="E310" s="87">
        <v>23</v>
      </c>
      <c r="F310" s="627">
        <v>58.65</v>
      </c>
      <c r="G310" s="88">
        <f>F310*E310</f>
        <v>1348.95</v>
      </c>
      <c r="H310" s="286"/>
    </row>
    <row r="311" spans="1:10" x14ac:dyDescent="0.2">
      <c r="A311" s="284" t="s">
        <v>1098</v>
      </c>
      <c r="B311" s="8" t="s">
        <v>535</v>
      </c>
      <c r="C311" s="16" t="s">
        <v>546</v>
      </c>
      <c r="D311" s="93"/>
      <c r="E311" s="87"/>
      <c r="F311" s="627"/>
      <c r="G311" s="4"/>
      <c r="H311" s="286"/>
    </row>
    <row r="312" spans="1:10" x14ac:dyDescent="0.2">
      <c r="A312" s="284" t="s">
        <v>1099</v>
      </c>
      <c r="B312" s="97"/>
      <c r="C312" s="91" t="s">
        <v>591</v>
      </c>
      <c r="D312" s="109" t="s">
        <v>172</v>
      </c>
      <c r="E312" s="87">
        <v>23</v>
      </c>
      <c r="F312" s="627">
        <v>30.04</v>
      </c>
      <c r="G312" s="88">
        <f>F312*E312</f>
        <v>690.92</v>
      </c>
      <c r="H312" s="285"/>
    </row>
    <row r="313" spans="1:10" x14ac:dyDescent="0.2">
      <c r="A313" s="284" t="s">
        <v>1100</v>
      </c>
      <c r="B313" s="8" t="s">
        <v>536</v>
      </c>
      <c r="C313" s="16" t="s">
        <v>592</v>
      </c>
      <c r="D313" s="93"/>
      <c r="E313" s="87"/>
      <c r="F313" s="627"/>
      <c r="G313" s="4"/>
      <c r="H313" s="286"/>
    </row>
    <row r="314" spans="1:10" x14ac:dyDescent="0.2">
      <c r="A314" s="284" t="s">
        <v>1101</v>
      </c>
      <c r="B314" s="97"/>
      <c r="C314" s="91" t="s">
        <v>593</v>
      </c>
      <c r="D314" s="109" t="s">
        <v>172</v>
      </c>
      <c r="E314" s="87">
        <v>17</v>
      </c>
      <c r="F314" s="627">
        <v>3.85</v>
      </c>
      <c r="G314" s="88">
        <f>F314*E314</f>
        <v>65.45</v>
      </c>
      <c r="H314" s="286"/>
    </row>
    <row r="315" spans="1:10" x14ac:dyDescent="0.2">
      <c r="A315" s="284" t="s">
        <v>1102</v>
      </c>
      <c r="B315" s="81" t="s">
        <v>537</v>
      </c>
      <c r="C315" s="16" t="s">
        <v>178</v>
      </c>
      <c r="D315" s="109"/>
      <c r="E315" s="87"/>
      <c r="F315" s="627"/>
      <c r="G315" s="4"/>
      <c r="H315" s="285"/>
    </row>
    <row r="316" spans="1:10" x14ac:dyDescent="0.2">
      <c r="A316" s="284" t="s">
        <v>1103</v>
      </c>
      <c r="B316" s="81" t="s">
        <v>538</v>
      </c>
      <c r="C316" s="16" t="s">
        <v>302</v>
      </c>
      <c r="D316" s="109"/>
      <c r="E316" s="87"/>
      <c r="F316" s="627"/>
      <c r="G316" s="4"/>
      <c r="H316" s="286"/>
    </row>
    <row r="317" spans="1:10" x14ac:dyDescent="0.2">
      <c r="A317" s="284" t="s">
        <v>1104</v>
      </c>
      <c r="B317" s="97"/>
      <c r="C317" s="110" t="s">
        <v>594</v>
      </c>
      <c r="D317" s="109" t="s">
        <v>172</v>
      </c>
      <c r="E317" s="87">
        <v>13</v>
      </c>
      <c r="F317" s="627">
        <v>37.270000000000003</v>
      </c>
      <c r="G317" s="88">
        <f t="shared" ref="G317:G327" si="10">F317*E317</f>
        <v>484.51000000000005</v>
      </c>
      <c r="H317" s="285"/>
    </row>
    <row r="318" spans="1:10" ht="13.5" thickBot="1" x14ac:dyDescent="0.25">
      <c r="A318" s="303" t="s">
        <v>1105</v>
      </c>
      <c r="B318" s="381"/>
      <c r="C318" s="382" t="s">
        <v>595</v>
      </c>
      <c r="D318" s="383" t="s">
        <v>172</v>
      </c>
      <c r="E318" s="306">
        <v>2</v>
      </c>
      <c r="F318" s="628">
        <v>16.07</v>
      </c>
      <c r="G318" s="307">
        <f t="shared" si="10"/>
        <v>32.14</v>
      </c>
      <c r="H318" s="320"/>
    </row>
    <row r="319" spans="1:10" x14ac:dyDescent="0.2">
      <c r="A319" s="369" t="s">
        <v>1106</v>
      </c>
      <c r="B319" s="389"/>
      <c r="C319" s="390" t="s">
        <v>596</v>
      </c>
      <c r="D319" s="391" t="s">
        <v>172</v>
      </c>
      <c r="E319" s="372">
        <v>5</v>
      </c>
      <c r="F319" s="635">
        <v>57.85</v>
      </c>
      <c r="G319" s="373">
        <f t="shared" si="10"/>
        <v>289.25</v>
      </c>
      <c r="H319" s="374"/>
    </row>
    <row r="320" spans="1:10" x14ac:dyDescent="0.2">
      <c r="A320" s="343" t="s">
        <v>1107</v>
      </c>
      <c r="B320" s="384"/>
      <c r="C320" s="385" t="s">
        <v>597</v>
      </c>
      <c r="D320" s="386" t="s">
        <v>172</v>
      </c>
      <c r="E320" s="367">
        <v>4</v>
      </c>
      <c r="F320" s="632">
        <v>40.98</v>
      </c>
      <c r="G320" s="331">
        <f t="shared" si="10"/>
        <v>163.92</v>
      </c>
      <c r="H320" s="344"/>
    </row>
    <row r="321" spans="1:8" ht="25.5" x14ac:dyDescent="0.2">
      <c r="A321" s="300" t="s">
        <v>1108</v>
      </c>
      <c r="B321" s="376"/>
      <c r="C321" s="377" t="s">
        <v>273</v>
      </c>
      <c r="D321" s="378" t="s">
        <v>172</v>
      </c>
      <c r="E321" s="271">
        <v>8</v>
      </c>
      <c r="F321" s="634">
        <v>196.87</v>
      </c>
      <c r="G321" s="273">
        <f t="shared" si="10"/>
        <v>1574.96</v>
      </c>
      <c r="H321" s="317"/>
    </row>
    <row r="322" spans="1:8" ht="25.5" x14ac:dyDescent="0.2">
      <c r="A322" s="284" t="s">
        <v>1109</v>
      </c>
      <c r="B322" s="97"/>
      <c r="C322" s="110" t="s">
        <v>274</v>
      </c>
      <c r="D322" s="109" t="s">
        <v>172</v>
      </c>
      <c r="E322" s="87">
        <v>40</v>
      </c>
      <c r="F322" s="627">
        <v>90.64</v>
      </c>
      <c r="G322" s="88">
        <f t="shared" si="10"/>
        <v>3625.6</v>
      </c>
      <c r="H322" s="286"/>
    </row>
    <row r="323" spans="1:8" x14ac:dyDescent="0.2">
      <c r="A323" s="284" t="s">
        <v>1110</v>
      </c>
      <c r="B323" s="97"/>
      <c r="C323" s="110" t="s">
        <v>598</v>
      </c>
      <c r="D323" s="109" t="s">
        <v>172</v>
      </c>
      <c r="E323" s="87">
        <v>1</v>
      </c>
      <c r="F323" s="627">
        <v>25.88</v>
      </c>
      <c r="G323" s="88">
        <f t="shared" si="10"/>
        <v>25.88</v>
      </c>
      <c r="H323" s="286"/>
    </row>
    <row r="324" spans="1:8" x14ac:dyDescent="0.2">
      <c r="A324" s="284" t="s">
        <v>1111</v>
      </c>
      <c r="B324" s="97"/>
      <c r="C324" s="110" t="s">
        <v>600</v>
      </c>
      <c r="D324" s="109" t="s">
        <v>172</v>
      </c>
      <c r="E324" s="87">
        <v>4</v>
      </c>
      <c r="F324" s="627">
        <v>92.62</v>
      </c>
      <c r="G324" s="88">
        <f t="shared" si="10"/>
        <v>370.48</v>
      </c>
      <c r="H324" s="285"/>
    </row>
    <row r="325" spans="1:8" x14ac:dyDescent="0.2">
      <c r="A325" s="284" t="s">
        <v>1112</v>
      </c>
      <c r="B325" s="97"/>
      <c r="C325" s="110" t="s">
        <v>601</v>
      </c>
      <c r="D325" s="109" t="s">
        <v>172</v>
      </c>
      <c r="E325" s="87">
        <v>4</v>
      </c>
      <c r="F325" s="627">
        <v>7.46</v>
      </c>
      <c r="G325" s="88">
        <f t="shared" si="10"/>
        <v>29.84</v>
      </c>
      <c r="H325" s="286"/>
    </row>
    <row r="326" spans="1:8" x14ac:dyDescent="0.2">
      <c r="A326" s="284" t="s">
        <v>1113</v>
      </c>
      <c r="B326" s="97"/>
      <c r="C326" s="110" t="s">
        <v>602</v>
      </c>
      <c r="D326" s="109" t="s">
        <v>172</v>
      </c>
      <c r="E326" s="87">
        <v>18</v>
      </c>
      <c r="F326" s="627">
        <v>4.9000000000000004</v>
      </c>
      <c r="G326" s="88">
        <f t="shared" si="10"/>
        <v>88.2</v>
      </c>
      <c r="H326" s="286"/>
    </row>
    <row r="327" spans="1:8" x14ac:dyDescent="0.2">
      <c r="A327" s="284" t="s">
        <v>1114</v>
      </c>
      <c r="B327" s="97"/>
      <c r="C327" s="110" t="s">
        <v>603</v>
      </c>
      <c r="D327" s="109" t="s">
        <v>172</v>
      </c>
      <c r="E327" s="87">
        <v>6</v>
      </c>
      <c r="F327" s="627">
        <v>3.54</v>
      </c>
      <c r="G327" s="88">
        <f t="shared" si="10"/>
        <v>21.240000000000002</v>
      </c>
      <c r="H327" s="285"/>
    </row>
    <row r="328" spans="1:8" x14ac:dyDescent="0.2">
      <c r="A328" s="284" t="s">
        <v>1115</v>
      </c>
      <c r="B328" s="81" t="s">
        <v>539</v>
      </c>
      <c r="C328" s="16" t="s">
        <v>604</v>
      </c>
      <c r="D328" s="109"/>
      <c r="E328" s="87"/>
      <c r="F328" s="627"/>
      <c r="G328" s="4"/>
      <c r="H328" s="286"/>
    </row>
    <row r="329" spans="1:8" ht="25.5" x14ac:dyDescent="0.2">
      <c r="A329" s="284" t="s">
        <v>1116</v>
      </c>
      <c r="B329" s="97"/>
      <c r="C329" s="110" t="s">
        <v>608</v>
      </c>
      <c r="D329" s="109" t="s">
        <v>172</v>
      </c>
      <c r="E329" s="87">
        <v>2</v>
      </c>
      <c r="F329" s="627">
        <v>610.76</v>
      </c>
      <c r="G329" s="88">
        <f>F329*E329</f>
        <v>1221.52</v>
      </c>
      <c r="H329" s="286"/>
    </row>
    <row r="330" spans="1:8" x14ac:dyDescent="0.2">
      <c r="A330" s="284" t="s">
        <v>1117</v>
      </c>
      <c r="B330" s="81" t="s">
        <v>540</v>
      </c>
      <c r="C330" s="16" t="s">
        <v>609</v>
      </c>
      <c r="D330" s="109"/>
      <c r="E330" s="87"/>
      <c r="F330" s="627"/>
      <c r="G330" s="4"/>
      <c r="H330" s="286"/>
    </row>
    <row r="331" spans="1:8" x14ac:dyDescent="0.2">
      <c r="A331" s="284" t="s">
        <v>1118</v>
      </c>
      <c r="B331" s="81" t="s">
        <v>541</v>
      </c>
      <c r="C331" s="16" t="s">
        <v>610</v>
      </c>
      <c r="D331" s="109"/>
      <c r="E331" s="87"/>
      <c r="F331" s="627"/>
      <c r="G331" s="4"/>
      <c r="H331" s="286"/>
    </row>
    <row r="332" spans="1:8" x14ac:dyDescent="0.2">
      <c r="A332" s="284" t="s">
        <v>1119</v>
      </c>
      <c r="B332" s="97"/>
      <c r="C332" s="110" t="s">
        <v>611</v>
      </c>
      <c r="D332" s="109" t="s">
        <v>172</v>
      </c>
      <c r="E332" s="87">
        <v>13</v>
      </c>
      <c r="F332" s="627">
        <v>634.76</v>
      </c>
      <c r="G332" s="88">
        <f>F332*E332</f>
        <v>8251.8799999999992</v>
      </c>
      <c r="H332" s="286"/>
    </row>
    <row r="333" spans="1:8" x14ac:dyDescent="0.2">
      <c r="A333" s="284" t="s">
        <v>1120</v>
      </c>
      <c r="B333" s="81" t="s">
        <v>542</v>
      </c>
      <c r="C333" s="16" t="s">
        <v>365</v>
      </c>
      <c r="D333" s="109"/>
      <c r="E333" s="87"/>
      <c r="F333" s="627"/>
      <c r="G333" s="4"/>
      <c r="H333" s="286"/>
    </row>
    <row r="334" spans="1:8" x14ac:dyDescent="0.2">
      <c r="A334" s="284" t="s">
        <v>1121</v>
      </c>
      <c r="B334" s="97"/>
      <c r="C334" s="110" t="s">
        <v>612</v>
      </c>
      <c r="D334" s="109" t="s">
        <v>172</v>
      </c>
      <c r="E334" s="87">
        <v>1</v>
      </c>
      <c r="F334" s="627">
        <v>345.51</v>
      </c>
      <c r="G334" s="88">
        <f>F334*E334</f>
        <v>345.51</v>
      </c>
      <c r="H334" s="285"/>
    </row>
    <row r="335" spans="1:8" x14ac:dyDescent="0.2">
      <c r="A335" s="284" t="s">
        <v>1122</v>
      </c>
      <c r="B335" s="97"/>
      <c r="C335" s="110" t="s">
        <v>613</v>
      </c>
      <c r="D335" s="109" t="s">
        <v>172</v>
      </c>
      <c r="E335" s="87">
        <v>1</v>
      </c>
      <c r="F335" s="627">
        <v>634.76</v>
      </c>
      <c r="G335" s="88">
        <f>F335*E335</f>
        <v>634.76</v>
      </c>
      <c r="H335" s="286"/>
    </row>
    <row r="336" spans="1:8" x14ac:dyDescent="0.2">
      <c r="A336" s="284"/>
      <c r="B336" s="89"/>
      <c r="C336" s="80" t="s">
        <v>614</v>
      </c>
      <c r="D336" s="76"/>
      <c r="E336" s="76"/>
      <c r="F336" s="627"/>
      <c r="G336" s="96">
        <f>SUM(G310:G335)</f>
        <v>19265.009999999995</v>
      </c>
      <c r="H336" s="287">
        <f>SUM(G336)</f>
        <v>19265.009999999995</v>
      </c>
    </row>
    <row r="337" spans="1:8" x14ac:dyDescent="0.2">
      <c r="A337" s="284" t="s">
        <v>692</v>
      </c>
      <c r="B337" s="8" t="s">
        <v>356</v>
      </c>
      <c r="C337" s="80" t="s">
        <v>357</v>
      </c>
      <c r="D337" s="103"/>
      <c r="E337" s="103"/>
      <c r="F337" s="627"/>
      <c r="G337" s="103"/>
      <c r="H337" s="289"/>
    </row>
    <row r="338" spans="1:8" x14ac:dyDescent="0.2">
      <c r="A338" s="284" t="s">
        <v>693</v>
      </c>
      <c r="B338" s="8" t="s">
        <v>322</v>
      </c>
      <c r="C338" s="80" t="s">
        <v>167</v>
      </c>
      <c r="D338" s="80"/>
      <c r="E338" s="80"/>
      <c r="F338" s="627"/>
      <c r="G338" s="80"/>
      <c r="H338" s="289"/>
    </row>
    <row r="339" spans="1:8" x14ac:dyDescent="0.2">
      <c r="A339" s="284" t="s">
        <v>1123</v>
      </c>
      <c r="B339" s="97"/>
      <c r="C339" s="99" t="s">
        <v>323</v>
      </c>
      <c r="D339" s="97" t="s">
        <v>172</v>
      </c>
      <c r="E339" s="111">
        <v>8</v>
      </c>
      <c r="F339" s="627">
        <v>178.06</v>
      </c>
      <c r="G339" s="85">
        <f t="shared" ref="G339:G351" si="11">F339*E339</f>
        <v>1424.48</v>
      </c>
      <c r="H339" s="289"/>
    </row>
    <row r="340" spans="1:8" x14ac:dyDescent="0.2">
      <c r="A340" s="284" t="s">
        <v>1124</v>
      </c>
      <c r="B340" s="97"/>
      <c r="C340" s="99" t="s">
        <v>324</v>
      </c>
      <c r="D340" s="97" t="s">
        <v>172</v>
      </c>
      <c r="E340" s="111">
        <v>8</v>
      </c>
      <c r="F340" s="627">
        <v>11.89</v>
      </c>
      <c r="G340" s="85">
        <f t="shared" si="11"/>
        <v>95.12</v>
      </c>
      <c r="H340" s="289"/>
    </row>
    <row r="341" spans="1:8" x14ac:dyDescent="0.2">
      <c r="A341" s="284" t="s">
        <v>1125</v>
      </c>
      <c r="B341" s="97"/>
      <c r="C341" s="99" t="s">
        <v>325</v>
      </c>
      <c r="D341" s="97" t="s">
        <v>172</v>
      </c>
      <c r="E341" s="111">
        <v>2</v>
      </c>
      <c r="F341" s="627">
        <v>48.43</v>
      </c>
      <c r="G341" s="85">
        <f t="shared" si="11"/>
        <v>96.86</v>
      </c>
      <c r="H341" s="289"/>
    </row>
    <row r="342" spans="1:8" x14ac:dyDescent="0.2">
      <c r="A342" s="284" t="s">
        <v>1126</v>
      </c>
      <c r="B342" s="97"/>
      <c r="C342" s="99" t="s">
        <v>326</v>
      </c>
      <c r="D342" s="97" t="s">
        <v>172</v>
      </c>
      <c r="E342" s="111">
        <v>5</v>
      </c>
      <c r="F342" s="627">
        <v>810.18</v>
      </c>
      <c r="G342" s="85">
        <f t="shared" si="11"/>
        <v>4050.8999999999996</v>
      </c>
      <c r="H342" s="289"/>
    </row>
    <row r="343" spans="1:8" x14ac:dyDescent="0.2">
      <c r="A343" s="284" t="s">
        <v>1127</v>
      </c>
      <c r="B343" s="97"/>
      <c r="C343" s="99" t="s">
        <v>327</v>
      </c>
      <c r="D343" s="97" t="s">
        <v>172</v>
      </c>
      <c r="E343" s="111">
        <v>38</v>
      </c>
      <c r="F343" s="627">
        <v>124.65</v>
      </c>
      <c r="G343" s="85">
        <f t="shared" si="11"/>
        <v>4736.7</v>
      </c>
      <c r="H343" s="289"/>
    </row>
    <row r="344" spans="1:8" x14ac:dyDescent="0.2">
      <c r="A344" s="284" t="s">
        <v>1128</v>
      </c>
      <c r="B344" s="97"/>
      <c r="C344" s="99" t="s">
        <v>328</v>
      </c>
      <c r="D344" s="97" t="s">
        <v>172</v>
      </c>
      <c r="E344" s="111">
        <v>2</v>
      </c>
      <c r="F344" s="627">
        <v>810.18</v>
      </c>
      <c r="G344" s="85">
        <f t="shared" si="11"/>
        <v>1620.36</v>
      </c>
      <c r="H344" s="289"/>
    </row>
    <row r="345" spans="1:8" x14ac:dyDescent="0.2">
      <c r="A345" s="284" t="s">
        <v>1129</v>
      </c>
      <c r="B345" s="97"/>
      <c r="C345" s="99" t="s">
        <v>329</v>
      </c>
      <c r="D345" s="97" t="s">
        <v>172</v>
      </c>
      <c r="E345" s="111">
        <v>9</v>
      </c>
      <c r="F345" s="627">
        <v>30.27</v>
      </c>
      <c r="G345" s="85">
        <f t="shared" si="11"/>
        <v>272.43</v>
      </c>
      <c r="H345" s="289"/>
    </row>
    <row r="346" spans="1:8" x14ac:dyDescent="0.2">
      <c r="A346" s="284" t="s">
        <v>1130</v>
      </c>
      <c r="B346" s="97"/>
      <c r="C346" s="99" t="s">
        <v>330</v>
      </c>
      <c r="D346" s="97" t="s">
        <v>172</v>
      </c>
      <c r="E346" s="111">
        <v>8</v>
      </c>
      <c r="F346" s="627">
        <v>30.27</v>
      </c>
      <c r="G346" s="85">
        <f t="shared" si="11"/>
        <v>242.16</v>
      </c>
      <c r="H346" s="289"/>
    </row>
    <row r="347" spans="1:8" x14ac:dyDescent="0.2">
      <c r="A347" s="284" t="s">
        <v>1131</v>
      </c>
      <c r="B347" s="97"/>
      <c r="C347" s="99" t="s">
        <v>332</v>
      </c>
      <c r="D347" s="97" t="s">
        <v>172</v>
      </c>
      <c r="E347" s="111">
        <v>8</v>
      </c>
      <c r="F347" s="627">
        <v>30.27</v>
      </c>
      <c r="G347" s="85">
        <f t="shared" si="11"/>
        <v>242.16</v>
      </c>
      <c r="H347" s="289"/>
    </row>
    <row r="348" spans="1:8" x14ac:dyDescent="0.2">
      <c r="A348" s="284" t="s">
        <v>1132</v>
      </c>
      <c r="B348" s="97"/>
      <c r="C348" s="99" t="s">
        <v>333</v>
      </c>
      <c r="D348" s="97" t="s">
        <v>172</v>
      </c>
      <c r="E348" s="111">
        <v>1</v>
      </c>
      <c r="F348" s="627">
        <v>30.27</v>
      </c>
      <c r="G348" s="85">
        <f t="shared" si="11"/>
        <v>30.27</v>
      </c>
      <c r="H348" s="289"/>
    </row>
    <row r="349" spans="1:8" x14ac:dyDescent="0.2">
      <c r="A349" s="284" t="s">
        <v>1133</v>
      </c>
      <c r="B349" s="97"/>
      <c r="C349" s="99" t="s">
        <v>334</v>
      </c>
      <c r="D349" s="97" t="s">
        <v>172</v>
      </c>
      <c r="E349" s="111">
        <v>1</v>
      </c>
      <c r="F349" s="627">
        <v>30.27</v>
      </c>
      <c r="G349" s="85">
        <f t="shared" si="11"/>
        <v>30.27</v>
      </c>
      <c r="H349" s="289"/>
    </row>
    <row r="350" spans="1:8" x14ac:dyDescent="0.2">
      <c r="A350" s="284" t="s">
        <v>1134</v>
      </c>
      <c r="B350" s="97"/>
      <c r="C350" s="99" t="s">
        <v>335</v>
      </c>
      <c r="D350" s="97" t="s">
        <v>172</v>
      </c>
      <c r="E350" s="111">
        <v>1</v>
      </c>
      <c r="F350" s="627">
        <v>30.27</v>
      </c>
      <c r="G350" s="85">
        <f t="shared" si="11"/>
        <v>30.27</v>
      </c>
      <c r="H350" s="289"/>
    </row>
    <row r="351" spans="1:8" x14ac:dyDescent="0.2">
      <c r="A351" s="284" t="s">
        <v>1135</v>
      </c>
      <c r="B351" s="97"/>
      <c r="C351" s="99" t="s">
        <v>336</v>
      </c>
      <c r="D351" s="97" t="s">
        <v>172</v>
      </c>
      <c r="E351" s="111">
        <v>8</v>
      </c>
      <c r="F351" s="627">
        <v>30.27</v>
      </c>
      <c r="G351" s="85">
        <f t="shared" si="11"/>
        <v>242.16</v>
      </c>
      <c r="H351" s="289"/>
    </row>
    <row r="352" spans="1:8" x14ac:dyDescent="0.2">
      <c r="A352" s="284"/>
      <c r="B352" s="93"/>
      <c r="C352" s="80" t="s">
        <v>476</v>
      </c>
      <c r="D352" s="76"/>
      <c r="E352" s="76"/>
      <c r="F352" s="627"/>
      <c r="G352" s="96">
        <f>SUM(G339:G351)</f>
        <v>13114.140000000001</v>
      </c>
      <c r="H352" s="287">
        <f>SUM(G352)</f>
        <v>13114.140000000001</v>
      </c>
    </row>
    <row r="353" spans="1:8" x14ac:dyDescent="0.2">
      <c r="A353" s="284" t="s">
        <v>694</v>
      </c>
      <c r="B353" s="8" t="s">
        <v>180</v>
      </c>
      <c r="C353" s="16" t="s">
        <v>664</v>
      </c>
      <c r="D353" s="63"/>
      <c r="E353" s="87"/>
      <c r="F353" s="627"/>
      <c r="G353" s="87"/>
      <c r="H353" s="286"/>
    </row>
    <row r="354" spans="1:8" x14ac:dyDescent="0.2">
      <c r="A354" s="284" t="s">
        <v>695</v>
      </c>
      <c r="B354" s="97"/>
      <c r="C354" s="99" t="s">
        <v>181</v>
      </c>
      <c r="D354" s="97" t="s">
        <v>172</v>
      </c>
      <c r="E354" s="111">
        <v>7</v>
      </c>
      <c r="F354" s="627">
        <v>151.35</v>
      </c>
      <c r="G354" s="88">
        <f>F354*E354</f>
        <v>1059.45</v>
      </c>
      <c r="H354" s="286"/>
    </row>
    <row r="355" spans="1:8" x14ac:dyDescent="0.2">
      <c r="A355" s="284" t="s">
        <v>1136</v>
      </c>
      <c r="B355" s="97"/>
      <c r="C355" s="99" t="s">
        <v>182</v>
      </c>
      <c r="D355" s="97" t="s">
        <v>172</v>
      </c>
      <c r="E355" s="111">
        <v>2</v>
      </c>
      <c r="F355" s="627">
        <v>103.27</v>
      </c>
      <c r="G355" s="88">
        <f>F355*E355</f>
        <v>206.54</v>
      </c>
      <c r="H355" s="286"/>
    </row>
    <row r="356" spans="1:8" x14ac:dyDescent="0.2">
      <c r="A356" s="284" t="s">
        <v>1137</v>
      </c>
      <c r="B356" s="97"/>
      <c r="C356" s="99" t="s">
        <v>183</v>
      </c>
      <c r="D356" s="97" t="s">
        <v>172</v>
      </c>
      <c r="E356" s="111">
        <v>2</v>
      </c>
      <c r="F356" s="627">
        <v>103.27</v>
      </c>
      <c r="G356" s="88">
        <f>F356*E356</f>
        <v>206.54</v>
      </c>
      <c r="H356" s="286"/>
    </row>
    <row r="357" spans="1:8" x14ac:dyDescent="0.2">
      <c r="A357" s="284" t="s">
        <v>1138</v>
      </c>
      <c r="B357" s="97"/>
      <c r="C357" s="99" t="s">
        <v>184</v>
      </c>
      <c r="D357" s="97" t="s">
        <v>172</v>
      </c>
      <c r="E357" s="111">
        <v>2</v>
      </c>
      <c r="F357" s="627">
        <v>589.94000000000005</v>
      </c>
      <c r="G357" s="88">
        <f>F357*E357</f>
        <v>1179.8800000000001</v>
      </c>
      <c r="H357" s="286"/>
    </row>
    <row r="358" spans="1:8" x14ac:dyDescent="0.2">
      <c r="A358" s="284" t="s">
        <v>1139</v>
      </c>
      <c r="B358" s="97"/>
      <c r="C358" s="99" t="s">
        <v>185</v>
      </c>
      <c r="D358" s="97" t="s">
        <v>172</v>
      </c>
      <c r="E358" s="111">
        <v>12</v>
      </c>
      <c r="F358" s="627">
        <v>409.53</v>
      </c>
      <c r="G358" s="88">
        <f>F358*E358</f>
        <v>4914.3599999999997</v>
      </c>
      <c r="H358" s="286"/>
    </row>
    <row r="359" spans="1:8" x14ac:dyDescent="0.2">
      <c r="A359" s="284" t="s">
        <v>1140</v>
      </c>
      <c r="B359" s="97"/>
      <c r="C359" s="99" t="s">
        <v>186</v>
      </c>
      <c r="D359" s="97" t="s">
        <v>172</v>
      </c>
      <c r="E359" s="111">
        <v>9</v>
      </c>
      <c r="F359" s="627">
        <v>195.87</v>
      </c>
      <c r="G359" s="88">
        <f t="shared" ref="G359:G402" si="12">F359*E359</f>
        <v>1762.83</v>
      </c>
      <c r="H359" s="286"/>
    </row>
    <row r="360" spans="1:8" ht="13.5" thickBot="1" x14ac:dyDescent="0.25">
      <c r="A360" s="303" t="s">
        <v>1141</v>
      </c>
      <c r="B360" s="381"/>
      <c r="C360" s="392" t="s">
        <v>187</v>
      </c>
      <c r="D360" s="381" t="s">
        <v>172</v>
      </c>
      <c r="E360" s="393">
        <v>2</v>
      </c>
      <c r="F360" s="628">
        <v>431.35</v>
      </c>
      <c r="G360" s="307">
        <f t="shared" si="12"/>
        <v>862.7</v>
      </c>
      <c r="H360" s="320"/>
    </row>
    <row r="361" spans="1:8" x14ac:dyDescent="0.2">
      <c r="A361" s="276" t="s">
        <v>1142</v>
      </c>
      <c r="B361" s="399"/>
      <c r="C361" s="400" t="s">
        <v>188</v>
      </c>
      <c r="D361" s="399" t="s">
        <v>172</v>
      </c>
      <c r="E361" s="401">
        <v>12</v>
      </c>
      <c r="F361" s="629">
        <v>44.41</v>
      </c>
      <c r="G361" s="282">
        <f t="shared" si="12"/>
        <v>532.91999999999996</v>
      </c>
      <c r="H361" s="283"/>
    </row>
    <row r="362" spans="1:8" x14ac:dyDescent="0.2">
      <c r="A362" s="284" t="s">
        <v>1143</v>
      </c>
      <c r="B362" s="97"/>
      <c r="C362" s="99" t="s">
        <v>189</v>
      </c>
      <c r="D362" s="97" t="s">
        <v>172</v>
      </c>
      <c r="E362" s="111">
        <v>9</v>
      </c>
      <c r="F362" s="627">
        <v>24.75</v>
      </c>
      <c r="G362" s="88">
        <f t="shared" si="12"/>
        <v>222.75</v>
      </c>
      <c r="H362" s="286"/>
    </row>
    <row r="363" spans="1:8" x14ac:dyDescent="0.2">
      <c r="A363" s="321" t="s">
        <v>1144</v>
      </c>
      <c r="B363" s="394"/>
      <c r="C363" s="395" t="s">
        <v>190</v>
      </c>
      <c r="D363" s="394" t="s">
        <v>172</v>
      </c>
      <c r="E363" s="396">
        <v>2</v>
      </c>
      <c r="F363" s="630">
        <v>367.9</v>
      </c>
      <c r="G363" s="325">
        <f t="shared" si="12"/>
        <v>735.8</v>
      </c>
      <c r="H363" s="326"/>
    </row>
    <row r="364" spans="1:8" x14ac:dyDescent="0.2">
      <c r="A364" s="343" t="s">
        <v>1145</v>
      </c>
      <c r="B364" s="384"/>
      <c r="C364" s="397" t="s">
        <v>191</v>
      </c>
      <c r="D364" s="384" t="s">
        <v>172</v>
      </c>
      <c r="E364" s="398">
        <v>8</v>
      </c>
      <c r="F364" s="632">
        <v>296.86</v>
      </c>
      <c r="G364" s="331">
        <f t="shared" si="12"/>
        <v>2374.88</v>
      </c>
      <c r="H364" s="344"/>
    </row>
    <row r="365" spans="1:8" x14ac:dyDescent="0.2">
      <c r="A365" s="300" t="s">
        <v>1146</v>
      </c>
      <c r="B365" s="376"/>
      <c r="C365" s="387" t="s">
        <v>270</v>
      </c>
      <c r="D365" s="376" t="s">
        <v>172</v>
      </c>
      <c r="E365" s="388">
        <v>4</v>
      </c>
      <c r="F365" s="634">
        <v>296.86</v>
      </c>
      <c r="G365" s="273">
        <f t="shared" si="12"/>
        <v>1187.44</v>
      </c>
      <c r="H365" s="317"/>
    </row>
    <row r="366" spans="1:8" x14ac:dyDescent="0.2">
      <c r="A366" s="284" t="s">
        <v>1147</v>
      </c>
      <c r="B366" s="97"/>
      <c r="C366" s="99" t="s">
        <v>192</v>
      </c>
      <c r="D366" s="97" t="s">
        <v>172</v>
      </c>
      <c r="E366" s="87">
        <v>1</v>
      </c>
      <c r="F366" s="627">
        <v>727.39</v>
      </c>
      <c r="G366" s="88">
        <f t="shared" si="12"/>
        <v>727.39</v>
      </c>
      <c r="H366" s="286"/>
    </row>
    <row r="367" spans="1:8" x14ac:dyDescent="0.2">
      <c r="A367" s="284" t="s">
        <v>1148</v>
      </c>
      <c r="B367" s="97"/>
      <c r="C367" s="99" t="s">
        <v>193</v>
      </c>
      <c r="D367" s="97" t="s">
        <v>172</v>
      </c>
      <c r="E367" s="87">
        <v>7</v>
      </c>
      <c r="F367" s="627">
        <v>190.3</v>
      </c>
      <c r="G367" s="88">
        <f t="shared" si="12"/>
        <v>1332.1000000000001</v>
      </c>
      <c r="H367" s="286"/>
    </row>
    <row r="368" spans="1:8" x14ac:dyDescent="0.2">
      <c r="A368" s="284" t="s">
        <v>1149</v>
      </c>
      <c r="B368" s="97"/>
      <c r="C368" s="99" t="s">
        <v>194</v>
      </c>
      <c r="D368" s="97" t="s">
        <v>172</v>
      </c>
      <c r="E368" s="87">
        <v>14</v>
      </c>
      <c r="F368" s="627">
        <v>98.95</v>
      </c>
      <c r="G368" s="88">
        <f t="shared" si="12"/>
        <v>1385.3</v>
      </c>
      <c r="H368" s="286"/>
    </row>
    <row r="369" spans="1:8" x14ac:dyDescent="0.2">
      <c r="A369" s="284" t="s">
        <v>1150</v>
      </c>
      <c r="B369" s="97"/>
      <c r="C369" s="99" t="s">
        <v>195</v>
      </c>
      <c r="D369" s="97" t="s">
        <v>172</v>
      </c>
      <c r="E369" s="87">
        <v>5</v>
      </c>
      <c r="F369" s="627">
        <v>98.95</v>
      </c>
      <c r="G369" s="88">
        <f t="shared" si="12"/>
        <v>494.75</v>
      </c>
      <c r="H369" s="286"/>
    </row>
    <row r="370" spans="1:8" x14ac:dyDescent="0.2">
      <c r="A370" s="284" t="s">
        <v>1151</v>
      </c>
      <c r="B370" s="97"/>
      <c r="C370" s="99" t="s">
        <v>196</v>
      </c>
      <c r="D370" s="97" t="s">
        <v>172</v>
      </c>
      <c r="E370" s="87">
        <v>3</v>
      </c>
      <c r="F370" s="627">
        <v>152.24</v>
      </c>
      <c r="G370" s="88">
        <f t="shared" si="12"/>
        <v>456.72</v>
      </c>
      <c r="H370" s="286"/>
    </row>
    <row r="371" spans="1:8" x14ac:dyDescent="0.2">
      <c r="A371" s="284" t="s">
        <v>1152</v>
      </c>
      <c r="B371" s="97"/>
      <c r="C371" s="99" t="s">
        <v>197</v>
      </c>
      <c r="D371" s="97" t="s">
        <v>172</v>
      </c>
      <c r="E371" s="87">
        <v>4</v>
      </c>
      <c r="F371" s="627">
        <v>190.3</v>
      </c>
      <c r="G371" s="88">
        <f t="shared" si="12"/>
        <v>761.2</v>
      </c>
      <c r="H371" s="286"/>
    </row>
    <row r="372" spans="1:8" x14ac:dyDescent="0.2">
      <c r="A372" s="284" t="s">
        <v>1153</v>
      </c>
      <c r="B372" s="97"/>
      <c r="C372" s="99" t="s">
        <v>198</v>
      </c>
      <c r="D372" s="97" t="s">
        <v>172</v>
      </c>
      <c r="E372" s="87">
        <v>7</v>
      </c>
      <c r="F372" s="627">
        <v>190.3</v>
      </c>
      <c r="G372" s="88">
        <f t="shared" si="12"/>
        <v>1332.1000000000001</v>
      </c>
      <c r="H372" s="286"/>
    </row>
    <row r="373" spans="1:8" x14ac:dyDescent="0.2">
      <c r="A373" s="284" t="s">
        <v>1154</v>
      </c>
      <c r="B373" s="97"/>
      <c r="C373" s="99" t="s">
        <v>199</v>
      </c>
      <c r="D373" s="97" t="s">
        <v>172</v>
      </c>
      <c r="E373" s="87">
        <v>6</v>
      </c>
      <c r="F373" s="627">
        <v>31.71</v>
      </c>
      <c r="G373" s="88">
        <f t="shared" si="12"/>
        <v>190.26</v>
      </c>
      <c r="H373" s="286"/>
    </row>
    <row r="374" spans="1:8" x14ac:dyDescent="0.2">
      <c r="A374" s="284" t="s">
        <v>1155</v>
      </c>
      <c r="B374" s="97"/>
      <c r="C374" s="99" t="s">
        <v>200</v>
      </c>
      <c r="D374" s="97" t="s">
        <v>172</v>
      </c>
      <c r="E374" s="87">
        <v>11</v>
      </c>
      <c r="F374" s="627">
        <v>31.71</v>
      </c>
      <c r="G374" s="88">
        <f t="shared" si="12"/>
        <v>348.81</v>
      </c>
      <c r="H374" s="286"/>
    </row>
    <row r="375" spans="1:8" x14ac:dyDescent="0.2">
      <c r="A375" s="284" t="s">
        <v>1156</v>
      </c>
      <c r="B375" s="97"/>
      <c r="C375" s="99" t="s">
        <v>201</v>
      </c>
      <c r="D375" s="97" t="s">
        <v>172</v>
      </c>
      <c r="E375" s="87">
        <v>1</v>
      </c>
      <c r="F375" s="627">
        <v>31.71</v>
      </c>
      <c r="G375" s="88">
        <f t="shared" si="12"/>
        <v>31.71</v>
      </c>
      <c r="H375" s="286"/>
    </row>
    <row r="376" spans="1:8" x14ac:dyDescent="0.2">
      <c r="A376" s="284" t="s">
        <v>1157</v>
      </c>
      <c r="B376" s="97"/>
      <c r="C376" s="99" t="s">
        <v>202</v>
      </c>
      <c r="D376" s="97" t="s">
        <v>172</v>
      </c>
      <c r="E376" s="87">
        <f>5*0.2</f>
        <v>1</v>
      </c>
      <c r="F376" s="627">
        <v>45.66</v>
      </c>
      <c r="G376" s="88">
        <f t="shared" si="12"/>
        <v>45.66</v>
      </c>
      <c r="H376" s="286"/>
    </row>
    <row r="377" spans="1:8" x14ac:dyDescent="0.2">
      <c r="A377" s="284" t="s">
        <v>1158</v>
      </c>
      <c r="B377" s="97"/>
      <c r="C377" s="112" t="s">
        <v>203</v>
      </c>
      <c r="D377" s="97" t="s">
        <v>172</v>
      </c>
      <c r="E377" s="87">
        <v>14</v>
      </c>
      <c r="F377" s="627">
        <v>92.6</v>
      </c>
      <c r="G377" s="88">
        <f t="shared" si="12"/>
        <v>1296.3999999999999</v>
      </c>
      <c r="H377" s="286"/>
    </row>
    <row r="378" spans="1:8" x14ac:dyDescent="0.2">
      <c r="A378" s="284" t="s">
        <v>1159</v>
      </c>
      <c r="B378" s="97"/>
      <c r="C378" s="99" t="s">
        <v>204</v>
      </c>
      <c r="D378" s="97" t="s">
        <v>172</v>
      </c>
      <c r="E378" s="87">
        <v>3</v>
      </c>
      <c r="F378" s="627">
        <v>128.13</v>
      </c>
      <c r="G378" s="88">
        <f t="shared" si="12"/>
        <v>384.39</v>
      </c>
      <c r="H378" s="286"/>
    </row>
    <row r="379" spans="1:8" x14ac:dyDescent="0.2">
      <c r="A379" s="284" t="s">
        <v>1160</v>
      </c>
      <c r="B379" s="97"/>
      <c r="C379" s="99" t="s">
        <v>205</v>
      </c>
      <c r="D379" s="97" t="s">
        <v>172</v>
      </c>
      <c r="E379" s="87">
        <v>11</v>
      </c>
      <c r="F379" s="627">
        <v>40.590000000000003</v>
      </c>
      <c r="G379" s="88">
        <f t="shared" si="12"/>
        <v>446.49</v>
      </c>
      <c r="H379" s="286"/>
    </row>
    <row r="380" spans="1:8" x14ac:dyDescent="0.2">
      <c r="A380" s="284" t="s">
        <v>1161</v>
      </c>
      <c r="B380" s="97"/>
      <c r="C380" s="99" t="s">
        <v>206</v>
      </c>
      <c r="D380" s="97" t="s">
        <v>172</v>
      </c>
      <c r="E380" s="87">
        <v>7</v>
      </c>
      <c r="F380" s="627">
        <v>50.75</v>
      </c>
      <c r="G380" s="88">
        <f t="shared" si="12"/>
        <v>355.25</v>
      </c>
      <c r="H380" s="286"/>
    </row>
    <row r="381" spans="1:8" x14ac:dyDescent="0.2">
      <c r="A381" s="284" t="s">
        <v>1162</v>
      </c>
      <c r="B381" s="97"/>
      <c r="C381" s="99" t="s">
        <v>207</v>
      </c>
      <c r="D381" s="97" t="s">
        <v>172</v>
      </c>
      <c r="E381" s="87">
        <v>12</v>
      </c>
      <c r="F381" s="627">
        <v>348.89</v>
      </c>
      <c r="G381" s="88">
        <f t="shared" si="12"/>
        <v>4186.68</v>
      </c>
      <c r="H381" s="286"/>
    </row>
    <row r="382" spans="1:8" x14ac:dyDescent="0.2">
      <c r="A382" s="284" t="s">
        <v>1163</v>
      </c>
      <c r="B382" s="97"/>
      <c r="C382" s="99" t="s">
        <v>224</v>
      </c>
      <c r="D382" s="97" t="s">
        <v>172</v>
      </c>
      <c r="E382" s="87">
        <v>4</v>
      </c>
      <c r="F382" s="627">
        <v>177.62</v>
      </c>
      <c r="G382" s="88">
        <f t="shared" si="12"/>
        <v>710.48</v>
      </c>
      <c r="H382" s="286"/>
    </row>
    <row r="383" spans="1:8" x14ac:dyDescent="0.2">
      <c r="A383" s="284" t="s">
        <v>1164</v>
      </c>
      <c r="B383" s="97"/>
      <c r="C383" s="99" t="s">
        <v>267</v>
      </c>
      <c r="D383" s="97" t="s">
        <v>172</v>
      </c>
      <c r="E383" s="87">
        <v>4</v>
      </c>
      <c r="F383" s="627">
        <v>348.89</v>
      </c>
      <c r="G383" s="88">
        <f t="shared" si="12"/>
        <v>1395.56</v>
      </c>
      <c r="H383" s="286"/>
    </row>
    <row r="384" spans="1:8" x14ac:dyDescent="0.2">
      <c r="A384" s="284" t="s">
        <v>1165</v>
      </c>
      <c r="B384" s="97"/>
      <c r="C384" s="99" t="s">
        <v>243</v>
      </c>
      <c r="D384" s="97" t="s">
        <v>172</v>
      </c>
      <c r="E384" s="87">
        <v>5</v>
      </c>
      <c r="F384" s="627">
        <v>262.61</v>
      </c>
      <c r="G384" s="88">
        <f t="shared" si="12"/>
        <v>1313.0500000000002</v>
      </c>
      <c r="H384" s="286"/>
    </row>
    <row r="385" spans="1:8" x14ac:dyDescent="0.2">
      <c r="A385" s="284" t="s">
        <v>1166</v>
      </c>
      <c r="B385" s="102"/>
      <c r="C385" s="99" t="s">
        <v>244</v>
      </c>
      <c r="D385" s="97" t="s">
        <v>172</v>
      </c>
      <c r="E385" s="87">
        <v>11</v>
      </c>
      <c r="F385" s="627">
        <v>152.24</v>
      </c>
      <c r="G385" s="88">
        <f t="shared" si="12"/>
        <v>1674.64</v>
      </c>
      <c r="H385" s="286"/>
    </row>
    <row r="386" spans="1:8" x14ac:dyDescent="0.2">
      <c r="A386" s="284" t="s">
        <v>1167</v>
      </c>
      <c r="B386" s="97"/>
      <c r="C386" s="99" t="s">
        <v>271</v>
      </c>
      <c r="D386" s="97" t="s">
        <v>172</v>
      </c>
      <c r="E386" s="87">
        <v>1</v>
      </c>
      <c r="F386" s="627">
        <v>6660.63</v>
      </c>
      <c r="G386" s="88">
        <f t="shared" si="12"/>
        <v>6660.63</v>
      </c>
      <c r="H386" s="286"/>
    </row>
    <row r="387" spans="1:8" x14ac:dyDescent="0.2">
      <c r="A387" s="284" t="s">
        <v>1168</v>
      </c>
      <c r="B387" s="97"/>
      <c r="C387" s="99" t="s">
        <v>245</v>
      </c>
      <c r="D387" s="97" t="s">
        <v>172</v>
      </c>
      <c r="E387" s="87">
        <v>19</v>
      </c>
      <c r="F387" s="627">
        <v>12.05</v>
      </c>
      <c r="G387" s="88">
        <f t="shared" si="12"/>
        <v>228.95000000000002</v>
      </c>
      <c r="H387" s="286"/>
    </row>
    <row r="388" spans="1:8" x14ac:dyDescent="0.2">
      <c r="A388" s="284" t="s">
        <v>1169</v>
      </c>
      <c r="B388" s="97"/>
      <c r="C388" s="99" t="s">
        <v>246</v>
      </c>
      <c r="D388" s="97" t="s">
        <v>172</v>
      </c>
      <c r="E388" s="87">
        <v>1</v>
      </c>
      <c r="F388" s="627">
        <v>85.37</v>
      </c>
      <c r="G388" s="88">
        <f t="shared" si="12"/>
        <v>85.37</v>
      </c>
      <c r="H388" s="286"/>
    </row>
    <row r="389" spans="1:8" x14ac:dyDescent="0.2">
      <c r="A389" s="284" t="s">
        <v>1170</v>
      </c>
      <c r="B389" s="97"/>
      <c r="C389" s="99" t="s">
        <v>247</v>
      </c>
      <c r="D389" s="97" t="s">
        <v>172</v>
      </c>
      <c r="E389" s="87">
        <v>1</v>
      </c>
      <c r="F389" s="627">
        <v>85.37</v>
      </c>
      <c r="G389" s="88">
        <f t="shared" si="12"/>
        <v>85.37</v>
      </c>
      <c r="H389" s="286"/>
    </row>
    <row r="390" spans="1:8" x14ac:dyDescent="0.2">
      <c r="A390" s="284" t="s">
        <v>1171</v>
      </c>
      <c r="B390" s="97"/>
      <c r="C390" s="99" t="s">
        <v>248</v>
      </c>
      <c r="D390" s="97" t="s">
        <v>172</v>
      </c>
      <c r="E390" s="87">
        <v>9</v>
      </c>
      <c r="F390" s="627">
        <v>82.45</v>
      </c>
      <c r="G390" s="88">
        <f t="shared" si="12"/>
        <v>742.05000000000007</v>
      </c>
      <c r="H390" s="286"/>
    </row>
    <row r="391" spans="1:8" x14ac:dyDescent="0.2">
      <c r="A391" s="284" t="s">
        <v>1172</v>
      </c>
      <c r="B391" s="97"/>
      <c r="C391" s="99" t="s">
        <v>249</v>
      </c>
      <c r="D391" s="97" t="s">
        <v>172</v>
      </c>
      <c r="E391" s="87">
        <v>1</v>
      </c>
      <c r="F391" s="627">
        <v>501.73</v>
      </c>
      <c r="G391" s="88">
        <f t="shared" si="12"/>
        <v>501.73</v>
      </c>
      <c r="H391" s="286"/>
    </row>
    <row r="392" spans="1:8" x14ac:dyDescent="0.2">
      <c r="A392" s="284" t="s">
        <v>1173</v>
      </c>
      <c r="B392" s="97"/>
      <c r="C392" s="99" t="s">
        <v>250</v>
      </c>
      <c r="D392" s="97" t="s">
        <v>172</v>
      </c>
      <c r="E392" s="87">
        <v>9</v>
      </c>
      <c r="F392" s="627">
        <v>183.96</v>
      </c>
      <c r="G392" s="88">
        <f t="shared" si="12"/>
        <v>1655.64</v>
      </c>
      <c r="H392" s="286"/>
    </row>
    <row r="393" spans="1:8" x14ac:dyDescent="0.2">
      <c r="A393" s="284" t="s">
        <v>1174</v>
      </c>
      <c r="B393" s="97"/>
      <c r="C393" s="99" t="s">
        <v>251</v>
      </c>
      <c r="D393" s="97" t="s">
        <v>172</v>
      </c>
      <c r="E393" s="87">
        <v>2</v>
      </c>
      <c r="F393" s="627">
        <v>367.9</v>
      </c>
      <c r="G393" s="88">
        <f t="shared" si="12"/>
        <v>735.8</v>
      </c>
      <c r="H393" s="286"/>
    </row>
    <row r="394" spans="1:8" x14ac:dyDescent="0.2">
      <c r="A394" s="284" t="s">
        <v>1175</v>
      </c>
      <c r="B394" s="97"/>
      <c r="C394" s="99" t="s">
        <v>252</v>
      </c>
      <c r="D394" s="97" t="s">
        <v>172</v>
      </c>
      <c r="E394" s="87">
        <v>6</v>
      </c>
      <c r="F394" s="627">
        <v>0.1</v>
      </c>
      <c r="G394" s="88">
        <f t="shared" si="12"/>
        <v>0.60000000000000009</v>
      </c>
      <c r="H394" s="286"/>
    </row>
    <row r="395" spans="1:8" x14ac:dyDescent="0.2">
      <c r="A395" s="284" t="s">
        <v>1176</v>
      </c>
      <c r="B395" s="97"/>
      <c r="C395" s="99" t="s">
        <v>253</v>
      </c>
      <c r="D395" s="97" t="s">
        <v>172</v>
      </c>
      <c r="E395" s="87">
        <v>13</v>
      </c>
      <c r="F395" s="627">
        <v>1.52</v>
      </c>
      <c r="G395" s="88">
        <f t="shared" si="12"/>
        <v>19.760000000000002</v>
      </c>
      <c r="H395" s="286"/>
    </row>
    <row r="396" spans="1:8" x14ac:dyDescent="0.2">
      <c r="A396" s="284" t="s">
        <v>1177</v>
      </c>
      <c r="B396" s="97"/>
      <c r="C396" s="99" t="s">
        <v>254</v>
      </c>
      <c r="D396" s="97" t="s">
        <v>172</v>
      </c>
      <c r="E396" s="87">
        <v>13</v>
      </c>
      <c r="F396" s="627">
        <v>2.5299999999999998</v>
      </c>
      <c r="G396" s="88">
        <f t="shared" si="12"/>
        <v>32.89</v>
      </c>
      <c r="H396" s="286"/>
    </row>
    <row r="397" spans="1:8" x14ac:dyDescent="0.2">
      <c r="A397" s="284" t="s">
        <v>1178</v>
      </c>
      <c r="B397" s="97"/>
      <c r="C397" s="99" t="s">
        <v>255</v>
      </c>
      <c r="D397" s="97" t="s">
        <v>172</v>
      </c>
      <c r="E397" s="87">
        <v>20</v>
      </c>
      <c r="F397" s="627">
        <v>2.89</v>
      </c>
      <c r="G397" s="88">
        <f t="shared" si="12"/>
        <v>57.800000000000004</v>
      </c>
      <c r="H397" s="286"/>
    </row>
    <row r="398" spans="1:8" x14ac:dyDescent="0.2">
      <c r="A398" s="284" t="s">
        <v>1179</v>
      </c>
      <c r="B398" s="97"/>
      <c r="C398" s="99" t="s">
        <v>256</v>
      </c>
      <c r="D398" s="97" t="s">
        <v>172</v>
      </c>
      <c r="E398" s="87">
        <v>8</v>
      </c>
      <c r="F398" s="627">
        <v>4.4400000000000004</v>
      </c>
      <c r="G398" s="88">
        <f t="shared" si="12"/>
        <v>35.520000000000003</v>
      </c>
      <c r="H398" s="285"/>
    </row>
    <row r="399" spans="1:8" x14ac:dyDescent="0.2">
      <c r="A399" s="284" t="s">
        <v>1180</v>
      </c>
      <c r="B399" s="97"/>
      <c r="C399" s="99" t="s">
        <v>265</v>
      </c>
      <c r="D399" s="97" t="s">
        <v>172</v>
      </c>
      <c r="E399" s="87">
        <v>32</v>
      </c>
      <c r="F399" s="627">
        <v>39.700000000000003</v>
      </c>
      <c r="G399" s="88">
        <f t="shared" si="12"/>
        <v>1270.4000000000001</v>
      </c>
      <c r="H399" s="285"/>
    </row>
    <row r="400" spans="1:8" x14ac:dyDescent="0.2">
      <c r="A400" s="284" t="s">
        <v>1181</v>
      </c>
      <c r="B400" s="97"/>
      <c r="C400" s="99" t="s">
        <v>266</v>
      </c>
      <c r="D400" s="97" t="s">
        <v>172</v>
      </c>
      <c r="E400" s="87">
        <v>30</v>
      </c>
      <c r="F400" s="627">
        <v>32</v>
      </c>
      <c r="G400" s="88">
        <f t="shared" si="12"/>
        <v>960</v>
      </c>
      <c r="H400" s="285"/>
    </row>
    <row r="401" spans="1:8" x14ac:dyDescent="0.2">
      <c r="A401" s="284" t="s">
        <v>1182</v>
      </c>
      <c r="B401" s="97"/>
      <c r="C401" s="99" t="s">
        <v>268</v>
      </c>
      <c r="D401" s="97" t="s">
        <v>172</v>
      </c>
      <c r="E401" s="87">
        <v>23</v>
      </c>
      <c r="F401" s="627">
        <v>27.28</v>
      </c>
      <c r="G401" s="88">
        <f t="shared" si="12"/>
        <v>627.44000000000005</v>
      </c>
      <c r="H401" s="285"/>
    </row>
    <row r="402" spans="1:8" x14ac:dyDescent="0.2">
      <c r="A402" s="284" t="s">
        <v>1183</v>
      </c>
      <c r="B402" s="97"/>
      <c r="C402" s="99" t="s">
        <v>269</v>
      </c>
      <c r="D402" s="97" t="s">
        <v>172</v>
      </c>
      <c r="E402" s="87">
        <v>17</v>
      </c>
      <c r="F402" s="627">
        <v>25.11</v>
      </c>
      <c r="G402" s="88">
        <f t="shared" si="12"/>
        <v>426.87</v>
      </c>
      <c r="H402" s="285"/>
    </row>
    <row r="403" spans="1:8" x14ac:dyDescent="0.2">
      <c r="A403" s="284"/>
      <c r="B403" s="89"/>
      <c r="C403" s="80" t="s">
        <v>123</v>
      </c>
      <c r="D403" s="76"/>
      <c r="E403" s="76"/>
      <c r="F403" s="627"/>
      <c r="G403" s="96">
        <f>SUM(G354:G402)</f>
        <v>48241.850000000013</v>
      </c>
      <c r="H403" s="287">
        <f>SUM(G403)</f>
        <v>48241.850000000013</v>
      </c>
    </row>
    <row r="404" spans="1:8" x14ac:dyDescent="0.2">
      <c r="A404" s="284" t="s">
        <v>696</v>
      </c>
      <c r="B404" s="113" t="s">
        <v>137</v>
      </c>
      <c r="C404" s="16" t="s">
        <v>278</v>
      </c>
      <c r="D404" s="63"/>
      <c r="E404" s="87"/>
      <c r="F404" s="627"/>
      <c r="G404" s="87"/>
      <c r="H404" s="286"/>
    </row>
    <row r="405" spans="1:8" ht="13.5" thickBot="1" x14ac:dyDescent="0.25">
      <c r="A405" s="303" t="s">
        <v>697</v>
      </c>
      <c r="B405" s="402" t="s">
        <v>279</v>
      </c>
      <c r="C405" s="403" t="s">
        <v>171</v>
      </c>
      <c r="D405" s="404"/>
      <c r="E405" s="405"/>
      <c r="F405" s="628"/>
      <c r="G405" s="406"/>
      <c r="H405" s="320"/>
    </row>
    <row r="406" spans="1:8" x14ac:dyDescent="0.2">
      <c r="A406" s="276" t="s">
        <v>1184</v>
      </c>
      <c r="B406" s="399"/>
      <c r="C406" s="400" t="s">
        <v>280</v>
      </c>
      <c r="D406" s="399" t="s">
        <v>160</v>
      </c>
      <c r="E406" s="280">
        <v>18</v>
      </c>
      <c r="F406" s="629">
        <v>26.11</v>
      </c>
      <c r="G406" s="282">
        <f>F406*E406</f>
        <v>469.98</v>
      </c>
      <c r="H406" s="283"/>
    </row>
    <row r="407" spans="1:8" x14ac:dyDescent="0.2">
      <c r="A407" s="284" t="s">
        <v>1185</v>
      </c>
      <c r="B407" s="97"/>
      <c r="C407" s="99" t="s">
        <v>281</v>
      </c>
      <c r="D407" s="97" t="s">
        <v>160</v>
      </c>
      <c r="E407" s="87">
        <v>24</v>
      </c>
      <c r="F407" s="627">
        <v>40.11</v>
      </c>
      <c r="G407" s="88">
        <f>F407*E407</f>
        <v>962.64</v>
      </c>
      <c r="H407" s="286"/>
    </row>
    <row r="408" spans="1:8" x14ac:dyDescent="0.2">
      <c r="A408" s="284" t="s">
        <v>1186</v>
      </c>
      <c r="B408" s="97"/>
      <c r="C408" s="99" t="s">
        <v>282</v>
      </c>
      <c r="D408" s="97" t="s">
        <v>160</v>
      </c>
      <c r="E408" s="87">
        <v>36</v>
      </c>
      <c r="F408" s="627">
        <v>60.33</v>
      </c>
      <c r="G408" s="88">
        <f>F408*E408</f>
        <v>2171.88</v>
      </c>
      <c r="H408" s="285"/>
    </row>
    <row r="409" spans="1:8" x14ac:dyDescent="0.2">
      <c r="A409" s="284" t="s">
        <v>1187</v>
      </c>
      <c r="B409" s="97"/>
      <c r="C409" s="99" t="s">
        <v>452</v>
      </c>
      <c r="D409" s="97" t="s">
        <v>160</v>
      </c>
      <c r="E409" s="87">
        <v>12</v>
      </c>
      <c r="F409" s="627">
        <v>119.04</v>
      </c>
      <c r="G409" s="88">
        <f>F409*E409</f>
        <v>1428.48</v>
      </c>
      <c r="H409" s="286"/>
    </row>
    <row r="410" spans="1:8" x14ac:dyDescent="0.2">
      <c r="A410" s="284" t="s">
        <v>698</v>
      </c>
      <c r="B410" s="8" t="s">
        <v>283</v>
      </c>
      <c r="C410" s="16" t="s">
        <v>173</v>
      </c>
      <c r="D410" s="1"/>
      <c r="E410" s="3"/>
      <c r="F410" s="627"/>
      <c r="G410" s="3"/>
      <c r="H410" s="286"/>
    </row>
    <row r="411" spans="1:8" x14ac:dyDescent="0.2">
      <c r="A411" s="284" t="s">
        <v>1188</v>
      </c>
      <c r="B411" s="97"/>
      <c r="C411" s="99" t="s">
        <v>284</v>
      </c>
      <c r="D411" s="97" t="s">
        <v>172</v>
      </c>
      <c r="E411" s="87">
        <v>2</v>
      </c>
      <c r="F411" s="627">
        <v>9.74</v>
      </c>
      <c r="G411" s="88">
        <f>F411*E411</f>
        <v>19.48</v>
      </c>
      <c r="H411" s="285"/>
    </row>
    <row r="412" spans="1:8" x14ac:dyDescent="0.2">
      <c r="A412" s="284" t="s">
        <v>699</v>
      </c>
      <c r="B412" s="8" t="s">
        <v>285</v>
      </c>
      <c r="C412" s="16" t="s">
        <v>176</v>
      </c>
      <c r="D412" s="1"/>
      <c r="E412" s="3"/>
      <c r="F412" s="627"/>
      <c r="G412" s="3"/>
      <c r="H412" s="286"/>
    </row>
    <row r="413" spans="1:8" x14ac:dyDescent="0.2">
      <c r="A413" s="284" t="s">
        <v>1189</v>
      </c>
      <c r="B413" s="97"/>
      <c r="C413" s="23" t="s">
        <v>286</v>
      </c>
      <c r="D413" s="97" t="s">
        <v>172</v>
      </c>
      <c r="E413" s="87">
        <v>4</v>
      </c>
      <c r="F413" s="627">
        <v>11</v>
      </c>
      <c r="G413" s="88">
        <f>F413*E413</f>
        <v>44</v>
      </c>
      <c r="H413" s="286"/>
    </row>
    <row r="414" spans="1:8" x14ac:dyDescent="0.2">
      <c r="A414" s="284" t="s">
        <v>1190</v>
      </c>
      <c r="B414" s="97"/>
      <c r="C414" s="23" t="s">
        <v>287</v>
      </c>
      <c r="D414" s="97" t="s">
        <v>172</v>
      </c>
      <c r="E414" s="87">
        <v>4</v>
      </c>
      <c r="F414" s="627">
        <v>33.82</v>
      </c>
      <c r="G414" s="88">
        <f>F414*E414</f>
        <v>135.28</v>
      </c>
      <c r="H414" s="286"/>
    </row>
    <row r="415" spans="1:8" x14ac:dyDescent="0.2">
      <c r="A415" s="284" t="s">
        <v>1191</v>
      </c>
      <c r="B415" s="97"/>
      <c r="C415" s="23" t="s">
        <v>512</v>
      </c>
      <c r="D415" s="97" t="s">
        <v>172</v>
      </c>
      <c r="E415" s="87">
        <v>15</v>
      </c>
      <c r="F415" s="627">
        <v>15.72</v>
      </c>
      <c r="G415" s="88">
        <f>F415*E415</f>
        <v>235.8</v>
      </c>
      <c r="H415" s="285"/>
    </row>
    <row r="416" spans="1:8" x14ac:dyDescent="0.2">
      <c r="A416" s="284" t="s">
        <v>1192</v>
      </c>
      <c r="B416" s="97"/>
      <c r="C416" s="23" t="s">
        <v>453</v>
      </c>
      <c r="D416" s="97" t="s">
        <v>172</v>
      </c>
      <c r="E416" s="87">
        <v>8</v>
      </c>
      <c r="F416" s="627">
        <v>77.67</v>
      </c>
      <c r="G416" s="88">
        <f>F416*E416</f>
        <v>621.36</v>
      </c>
      <c r="H416" s="286"/>
    </row>
    <row r="417" spans="1:8" x14ac:dyDescent="0.2">
      <c r="A417" s="284" t="s">
        <v>700</v>
      </c>
      <c r="B417" s="8" t="s">
        <v>288</v>
      </c>
      <c r="C417" s="16" t="s">
        <v>177</v>
      </c>
      <c r="D417" s="1"/>
      <c r="E417" s="3"/>
      <c r="F417" s="627"/>
      <c r="G417" s="3"/>
      <c r="H417" s="285"/>
    </row>
    <row r="418" spans="1:8" x14ac:dyDescent="0.2">
      <c r="A418" s="284" t="s">
        <v>1193</v>
      </c>
      <c r="B418" s="97"/>
      <c r="C418" s="99" t="s">
        <v>289</v>
      </c>
      <c r="D418" s="97" t="s">
        <v>172</v>
      </c>
      <c r="E418" s="87">
        <v>1</v>
      </c>
      <c r="F418" s="627">
        <v>13.36</v>
      </c>
      <c r="G418" s="88">
        <f>F418*E418</f>
        <v>13.36</v>
      </c>
      <c r="H418" s="286"/>
    </row>
    <row r="419" spans="1:8" x14ac:dyDescent="0.2">
      <c r="A419" s="284" t="s">
        <v>1194</v>
      </c>
      <c r="B419" s="97"/>
      <c r="C419" s="99" t="s">
        <v>290</v>
      </c>
      <c r="D419" s="97" t="s">
        <v>172</v>
      </c>
      <c r="E419" s="87">
        <v>1</v>
      </c>
      <c r="F419" s="627">
        <v>25.01</v>
      </c>
      <c r="G419" s="88">
        <f>F419*E419</f>
        <v>25.01</v>
      </c>
      <c r="H419" s="286"/>
    </row>
    <row r="420" spans="1:8" x14ac:dyDescent="0.2">
      <c r="A420" s="284" t="s">
        <v>1195</v>
      </c>
      <c r="B420" s="8" t="s">
        <v>291</v>
      </c>
      <c r="C420" s="16" t="s">
        <v>178</v>
      </c>
      <c r="D420" s="1"/>
      <c r="E420" s="3"/>
      <c r="F420" s="627"/>
      <c r="G420" s="3"/>
      <c r="H420" s="286"/>
    </row>
    <row r="421" spans="1:8" x14ac:dyDescent="0.2">
      <c r="A421" s="284" t="s">
        <v>1196</v>
      </c>
      <c r="B421" s="97"/>
      <c r="C421" s="99" t="s">
        <v>292</v>
      </c>
      <c r="D421" s="97" t="s">
        <v>172</v>
      </c>
      <c r="E421" s="87">
        <v>1</v>
      </c>
      <c r="F421" s="627">
        <v>34.99</v>
      </c>
      <c r="G421" s="88">
        <f>F421*E421</f>
        <v>34.99</v>
      </c>
      <c r="H421" s="286"/>
    </row>
    <row r="422" spans="1:8" x14ac:dyDescent="0.2">
      <c r="A422" s="284" t="s">
        <v>1197</v>
      </c>
      <c r="B422" s="97"/>
      <c r="C422" s="99" t="s">
        <v>293</v>
      </c>
      <c r="D422" s="97" t="s">
        <v>172</v>
      </c>
      <c r="E422" s="87">
        <v>2</v>
      </c>
      <c r="F422" s="627">
        <v>22.81</v>
      </c>
      <c r="G422" s="88">
        <f>F422*E422</f>
        <v>45.62</v>
      </c>
      <c r="H422" s="285"/>
    </row>
    <row r="423" spans="1:8" x14ac:dyDescent="0.2">
      <c r="A423" s="284" t="s">
        <v>1198</v>
      </c>
      <c r="B423" s="97"/>
      <c r="C423" s="99" t="s">
        <v>294</v>
      </c>
      <c r="D423" s="97" t="s">
        <v>172</v>
      </c>
      <c r="E423" s="87">
        <v>1</v>
      </c>
      <c r="F423" s="627">
        <v>24.39</v>
      </c>
      <c r="G423" s="88">
        <f>F423*E423</f>
        <v>24.39</v>
      </c>
      <c r="H423" s="286"/>
    </row>
    <row r="424" spans="1:8" x14ac:dyDescent="0.2">
      <c r="A424" s="284" t="s">
        <v>1199</v>
      </c>
      <c r="B424" s="8" t="s">
        <v>295</v>
      </c>
      <c r="C424" s="16" t="s">
        <v>179</v>
      </c>
      <c r="D424" s="1"/>
      <c r="E424" s="3"/>
      <c r="F424" s="627"/>
      <c r="G424" s="3"/>
      <c r="H424" s="285"/>
    </row>
    <row r="425" spans="1:8" x14ac:dyDescent="0.2">
      <c r="A425" s="284" t="s">
        <v>1200</v>
      </c>
      <c r="B425" s="97"/>
      <c r="C425" s="99" t="s">
        <v>296</v>
      </c>
      <c r="D425" s="97" t="s">
        <v>172</v>
      </c>
      <c r="E425" s="87">
        <v>4</v>
      </c>
      <c r="F425" s="627">
        <v>36.18</v>
      </c>
      <c r="G425" s="88">
        <f>F425*E425</f>
        <v>144.72</v>
      </c>
      <c r="H425" s="286"/>
    </row>
    <row r="426" spans="1:8" x14ac:dyDescent="0.2">
      <c r="A426" s="284" t="s">
        <v>1201</v>
      </c>
      <c r="B426" s="97"/>
      <c r="C426" s="99" t="s">
        <v>297</v>
      </c>
      <c r="D426" s="97" t="s">
        <v>172</v>
      </c>
      <c r="E426" s="87">
        <v>2</v>
      </c>
      <c r="F426" s="627">
        <v>68.44</v>
      </c>
      <c r="G426" s="88">
        <f>F426*E426</f>
        <v>136.88</v>
      </c>
      <c r="H426" s="285"/>
    </row>
    <row r="427" spans="1:8" x14ac:dyDescent="0.2">
      <c r="A427" s="284" t="s">
        <v>1202</v>
      </c>
      <c r="B427" s="8" t="s">
        <v>298</v>
      </c>
      <c r="C427" s="16" t="s">
        <v>299</v>
      </c>
      <c r="D427" s="1"/>
      <c r="E427" s="3"/>
      <c r="F427" s="627"/>
      <c r="G427" s="3"/>
      <c r="H427" s="286"/>
    </row>
    <row r="428" spans="1:8" x14ac:dyDescent="0.2">
      <c r="A428" s="284" t="s">
        <v>1203</v>
      </c>
      <c r="B428" s="97"/>
      <c r="C428" s="99" t="s">
        <v>301</v>
      </c>
      <c r="D428" s="97" t="s">
        <v>172</v>
      </c>
      <c r="E428" s="87">
        <v>2</v>
      </c>
      <c r="F428" s="627">
        <v>11.32</v>
      </c>
      <c r="G428" s="88">
        <f>F428*E428</f>
        <v>22.64</v>
      </c>
      <c r="H428" s="286"/>
    </row>
    <row r="429" spans="1:8" x14ac:dyDescent="0.2">
      <c r="A429" s="284"/>
      <c r="B429" s="2"/>
      <c r="C429" s="80" t="s">
        <v>136</v>
      </c>
      <c r="D429" s="76"/>
      <c r="E429" s="76"/>
      <c r="F429" s="627"/>
      <c r="G429" s="96">
        <f>SUM(G406:G428)</f>
        <v>6536.5099999999993</v>
      </c>
      <c r="H429" s="287">
        <f>SUM(G429)</f>
        <v>6536.5099999999993</v>
      </c>
    </row>
    <row r="430" spans="1:8" x14ac:dyDescent="0.2">
      <c r="A430" s="284" t="s">
        <v>701</v>
      </c>
      <c r="B430" s="81" t="s">
        <v>346</v>
      </c>
      <c r="C430" s="16" t="s">
        <v>347</v>
      </c>
      <c r="D430" s="63"/>
      <c r="E430" s="87"/>
      <c r="F430" s="627"/>
      <c r="G430" s="87"/>
      <c r="H430" s="285"/>
    </row>
    <row r="431" spans="1:8" x14ac:dyDescent="0.2">
      <c r="A431" s="284" t="s">
        <v>702</v>
      </c>
      <c r="B431" s="81" t="s">
        <v>337</v>
      </c>
      <c r="C431" s="16" t="s">
        <v>338</v>
      </c>
      <c r="D431" s="63"/>
      <c r="E431" s="87"/>
      <c r="F431" s="627"/>
      <c r="G431" s="87"/>
      <c r="H431" s="286"/>
    </row>
    <row r="432" spans="1:8" x14ac:dyDescent="0.2">
      <c r="A432" s="284" t="s">
        <v>1204</v>
      </c>
      <c r="B432" s="81" t="s">
        <v>339</v>
      </c>
      <c r="C432" s="16" t="s">
        <v>166</v>
      </c>
      <c r="D432" s="63"/>
      <c r="E432" s="87"/>
      <c r="F432" s="627"/>
      <c r="G432" s="87"/>
      <c r="H432" s="286"/>
    </row>
    <row r="433" spans="1:8" x14ac:dyDescent="0.2">
      <c r="A433" s="284" t="s">
        <v>1205</v>
      </c>
      <c r="B433" s="81" t="s">
        <v>340</v>
      </c>
      <c r="C433" s="1" t="s">
        <v>341</v>
      </c>
      <c r="D433" s="1"/>
      <c r="E433" s="3"/>
      <c r="F433" s="627"/>
      <c r="G433" s="3"/>
      <c r="H433" s="286"/>
    </row>
    <row r="434" spans="1:8" x14ac:dyDescent="0.2">
      <c r="A434" s="284" t="s">
        <v>1206</v>
      </c>
      <c r="B434" s="86"/>
      <c r="C434" s="99" t="s">
        <v>342</v>
      </c>
      <c r="D434" s="86" t="s">
        <v>172</v>
      </c>
      <c r="E434" s="87">
        <v>11</v>
      </c>
      <c r="F434" s="627">
        <v>34.67</v>
      </c>
      <c r="G434" s="88">
        <f>F434*E434</f>
        <v>381.37</v>
      </c>
      <c r="H434" s="285"/>
    </row>
    <row r="435" spans="1:8" x14ac:dyDescent="0.2">
      <c r="A435" s="284" t="s">
        <v>1207</v>
      </c>
      <c r="B435" s="86"/>
      <c r="C435" s="99" t="s">
        <v>343</v>
      </c>
      <c r="D435" s="86" t="s">
        <v>172</v>
      </c>
      <c r="E435" s="87">
        <v>1</v>
      </c>
      <c r="F435" s="627">
        <v>16.920000000000002</v>
      </c>
      <c r="G435" s="88">
        <f>F435*E435</f>
        <v>16.920000000000002</v>
      </c>
      <c r="H435" s="286"/>
    </row>
    <row r="436" spans="1:8" x14ac:dyDescent="0.2">
      <c r="A436" s="284" t="s">
        <v>1208</v>
      </c>
      <c r="B436" s="81" t="s">
        <v>360</v>
      </c>
      <c r="C436" s="1" t="s">
        <v>361</v>
      </c>
      <c r="D436" s="1"/>
      <c r="E436" s="3"/>
      <c r="F436" s="627"/>
      <c r="G436" s="3"/>
      <c r="H436" s="285"/>
    </row>
    <row r="437" spans="1:8" x14ac:dyDescent="0.2">
      <c r="A437" s="284" t="s">
        <v>1209</v>
      </c>
      <c r="B437" s="86"/>
      <c r="C437" s="104" t="s">
        <v>261</v>
      </c>
      <c r="D437" s="102" t="s">
        <v>172</v>
      </c>
      <c r="E437" s="88">
        <v>9</v>
      </c>
      <c r="F437" s="627">
        <v>42.28</v>
      </c>
      <c r="G437" s="88">
        <f>F437*E437</f>
        <v>380.52</v>
      </c>
      <c r="H437" s="286"/>
    </row>
    <row r="438" spans="1:8" x14ac:dyDescent="0.2">
      <c r="A438" s="284" t="s">
        <v>1210</v>
      </c>
      <c r="B438" s="86"/>
      <c r="C438" s="99" t="s">
        <v>362</v>
      </c>
      <c r="D438" s="86" t="s">
        <v>172</v>
      </c>
      <c r="E438" s="87">
        <v>5</v>
      </c>
      <c r="F438" s="627">
        <v>296.04000000000002</v>
      </c>
      <c r="G438" s="88">
        <f>F438*E438</f>
        <v>1480.2</v>
      </c>
      <c r="H438" s="286"/>
    </row>
    <row r="439" spans="1:8" x14ac:dyDescent="0.2">
      <c r="A439" s="284" t="s">
        <v>1211</v>
      </c>
      <c r="B439" s="86"/>
      <c r="C439" s="99" t="s">
        <v>260</v>
      </c>
      <c r="D439" s="86" t="s">
        <v>172</v>
      </c>
      <c r="E439" s="87">
        <v>2</v>
      </c>
      <c r="F439" s="627">
        <v>76.11</v>
      </c>
      <c r="G439" s="88">
        <f>F439*E439</f>
        <v>152.22</v>
      </c>
      <c r="H439" s="286"/>
    </row>
    <row r="440" spans="1:8" x14ac:dyDescent="0.2">
      <c r="A440" s="284" t="s">
        <v>1212</v>
      </c>
      <c r="B440" s="81" t="s">
        <v>364</v>
      </c>
      <c r="C440" s="1" t="s">
        <v>365</v>
      </c>
      <c r="D440" s="1"/>
      <c r="E440" s="3"/>
      <c r="F440" s="627"/>
      <c r="G440" s="3"/>
      <c r="H440" s="286"/>
    </row>
    <row r="441" spans="1:8" x14ac:dyDescent="0.2">
      <c r="A441" s="284" t="s">
        <v>1213</v>
      </c>
      <c r="B441" s="86"/>
      <c r="C441" s="104" t="s">
        <v>366</v>
      </c>
      <c r="D441" s="86" t="s">
        <v>172</v>
      </c>
      <c r="E441" s="87">
        <v>1</v>
      </c>
      <c r="F441" s="627">
        <v>363.69</v>
      </c>
      <c r="G441" s="88">
        <f>F441*E441</f>
        <v>363.69</v>
      </c>
      <c r="H441" s="286"/>
    </row>
    <row r="442" spans="1:8" x14ac:dyDescent="0.2">
      <c r="A442" s="284" t="s">
        <v>1214</v>
      </c>
      <c r="B442" s="86"/>
      <c r="C442" s="104" t="s">
        <v>262</v>
      </c>
      <c r="D442" s="86" t="s">
        <v>172</v>
      </c>
      <c r="E442" s="87">
        <v>1</v>
      </c>
      <c r="F442" s="627">
        <v>42.28</v>
      </c>
      <c r="G442" s="88">
        <f>F442*E442</f>
        <v>42.28</v>
      </c>
      <c r="H442" s="286"/>
    </row>
    <row r="443" spans="1:8" x14ac:dyDescent="0.2">
      <c r="A443" s="284" t="s">
        <v>1215</v>
      </c>
      <c r="B443" s="81" t="s">
        <v>367</v>
      </c>
      <c r="C443" s="1" t="s">
        <v>368</v>
      </c>
      <c r="D443" s="1"/>
      <c r="E443" s="3"/>
      <c r="F443" s="627"/>
      <c r="G443" s="3"/>
      <c r="H443" s="286"/>
    </row>
    <row r="444" spans="1:8" ht="25.5" x14ac:dyDescent="0.2">
      <c r="A444" s="284" t="s">
        <v>1216</v>
      </c>
      <c r="B444" s="86"/>
      <c r="C444" s="104" t="s">
        <v>369</v>
      </c>
      <c r="D444" s="86" t="s">
        <v>172</v>
      </c>
      <c r="E444" s="87">
        <v>5</v>
      </c>
      <c r="F444" s="627">
        <v>12.68</v>
      </c>
      <c r="G444" s="88">
        <f>F444*E444</f>
        <v>63.4</v>
      </c>
      <c r="H444" s="285"/>
    </row>
    <row r="445" spans="1:8" x14ac:dyDescent="0.2">
      <c r="A445" s="284" t="s">
        <v>1217</v>
      </c>
      <c r="B445" s="81" t="s">
        <v>525</v>
      </c>
      <c r="C445" s="16" t="s">
        <v>302</v>
      </c>
      <c r="D445" s="81"/>
      <c r="E445" s="81"/>
      <c r="F445" s="627"/>
      <c r="G445" s="4"/>
      <c r="H445" s="286"/>
    </row>
    <row r="446" spans="1:8" x14ac:dyDescent="0.2">
      <c r="A446" s="284" t="s">
        <v>1218</v>
      </c>
      <c r="B446" s="97"/>
      <c r="C446" s="104" t="s">
        <v>300</v>
      </c>
      <c r="D446" s="109" t="s">
        <v>160</v>
      </c>
      <c r="E446" s="87">
        <v>8</v>
      </c>
      <c r="F446" s="627">
        <v>16.75</v>
      </c>
      <c r="G446" s="88">
        <f>F446*E446</f>
        <v>134</v>
      </c>
      <c r="H446" s="286"/>
    </row>
    <row r="447" spans="1:8" x14ac:dyDescent="0.2">
      <c r="A447" s="284" t="s">
        <v>1219</v>
      </c>
      <c r="B447" s="97"/>
      <c r="C447" s="104" t="s">
        <v>272</v>
      </c>
      <c r="D447" s="109" t="s">
        <v>160</v>
      </c>
      <c r="E447" s="87">
        <v>2</v>
      </c>
      <c r="F447" s="627">
        <v>16.75</v>
      </c>
      <c r="G447" s="88">
        <f>F447*E447</f>
        <v>33.5</v>
      </c>
      <c r="H447" s="286"/>
    </row>
    <row r="448" spans="1:8" x14ac:dyDescent="0.2">
      <c r="A448" s="284"/>
      <c r="B448" s="2"/>
      <c r="C448" s="80" t="s">
        <v>124</v>
      </c>
      <c r="D448" s="76"/>
      <c r="E448" s="76"/>
      <c r="F448" s="627"/>
      <c r="G448" s="96">
        <f>SUM(G434:G447)</f>
        <v>3048.1000000000004</v>
      </c>
      <c r="H448" s="287">
        <f>SUM(G448)</f>
        <v>3048.1000000000004</v>
      </c>
    </row>
    <row r="449" spans="1:8" ht="13.5" thickBot="1" x14ac:dyDescent="0.25">
      <c r="A449" s="303" t="s">
        <v>709</v>
      </c>
      <c r="B449" s="362" t="s">
        <v>119</v>
      </c>
      <c r="C449" s="363" t="s">
        <v>120</v>
      </c>
      <c r="D449" s="364"/>
      <c r="E449" s="365"/>
      <c r="F449" s="628"/>
      <c r="G449" s="365"/>
      <c r="H449" s="308"/>
    </row>
    <row r="450" spans="1:8" x14ac:dyDescent="0.2">
      <c r="A450" s="369" t="s">
        <v>710</v>
      </c>
      <c r="B450" s="409" t="s">
        <v>121</v>
      </c>
      <c r="C450" s="410" t="s">
        <v>122</v>
      </c>
      <c r="D450" s="411"/>
      <c r="E450" s="373"/>
      <c r="F450" s="635"/>
      <c r="G450" s="373"/>
      <c r="H450" s="412"/>
    </row>
    <row r="451" spans="1:8" x14ac:dyDescent="0.2">
      <c r="A451" s="343" t="s">
        <v>1220</v>
      </c>
      <c r="B451" s="407" t="s">
        <v>140</v>
      </c>
      <c r="C451" s="408" t="s">
        <v>166</v>
      </c>
      <c r="D451" s="384"/>
      <c r="E451" s="331"/>
      <c r="F451" s="632"/>
      <c r="G451" s="331"/>
      <c r="H451" s="413"/>
    </row>
    <row r="452" spans="1:8" x14ac:dyDescent="0.2">
      <c r="A452" s="300" t="s">
        <v>1221</v>
      </c>
      <c r="B452" s="376"/>
      <c r="C452" s="368" t="s">
        <v>141</v>
      </c>
      <c r="D452" s="376" t="s">
        <v>371</v>
      </c>
      <c r="E452" s="271">
        <v>1</v>
      </c>
      <c r="F452" s="634">
        <v>445.15</v>
      </c>
      <c r="G452" s="272">
        <f>F452*E452</f>
        <v>445.15</v>
      </c>
      <c r="H452" s="302"/>
    </row>
    <row r="453" spans="1:8" x14ac:dyDescent="0.2">
      <c r="A453" s="284" t="s">
        <v>1222</v>
      </c>
      <c r="B453" s="97"/>
      <c r="C453" s="63" t="s">
        <v>142</v>
      </c>
      <c r="D453" s="97" t="s">
        <v>371</v>
      </c>
      <c r="E453" s="87">
        <v>1</v>
      </c>
      <c r="F453" s="627">
        <v>445.15</v>
      </c>
      <c r="G453" s="85">
        <f>F453*E453</f>
        <v>445.15</v>
      </c>
      <c r="H453" s="289"/>
    </row>
    <row r="454" spans="1:8" x14ac:dyDescent="0.2">
      <c r="A454" s="284" t="s">
        <v>1223</v>
      </c>
      <c r="B454" s="97"/>
      <c r="C454" s="63" t="s">
        <v>143</v>
      </c>
      <c r="D454" s="97" t="s">
        <v>371</v>
      </c>
      <c r="E454" s="87">
        <v>1</v>
      </c>
      <c r="F454" s="627">
        <v>445.15</v>
      </c>
      <c r="G454" s="85">
        <f>F454*E454</f>
        <v>445.15</v>
      </c>
      <c r="H454" s="289"/>
    </row>
    <row r="455" spans="1:8" x14ac:dyDescent="0.2">
      <c r="A455" s="284"/>
      <c r="B455" s="93"/>
      <c r="C455" s="80" t="s">
        <v>605</v>
      </c>
      <c r="D455" s="76"/>
      <c r="E455" s="76"/>
      <c r="F455" s="627"/>
      <c r="G455" s="96">
        <f>SUM(G452:G454)</f>
        <v>1335.4499999999998</v>
      </c>
      <c r="H455" s="289"/>
    </row>
    <row r="456" spans="1:8" x14ac:dyDescent="0.2">
      <c r="A456" s="284" t="s">
        <v>1224</v>
      </c>
      <c r="B456" s="81" t="s">
        <v>138</v>
      </c>
      <c r="C456" s="80" t="s">
        <v>139</v>
      </c>
      <c r="D456" s="86"/>
      <c r="E456" s="78"/>
      <c r="F456" s="627"/>
      <c r="G456" s="5"/>
      <c r="H456" s="289"/>
    </row>
    <row r="457" spans="1:8" x14ac:dyDescent="0.2">
      <c r="A457" s="284" t="s">
        <v>1225</v>
      </c>
      <c r="B457" s="8" t="s">
        <v>17</v>
      </c>
      <c r="C457" s="80" t="s">
        <v>18</v>
      </c>
      <c r="D457" s="97"/>
      <c r="E457" s="87"/>
      <c r="F457" s="627"/>
      <c r="G457" s="5"/>
      <c r="H457" s="289"/>
    </row>
    <row r="458" spans="1:8" ht="14.25" x14ac:dyDescent="0.2">
      <c r="A458" s="284" t="s">
        <v>1226</v>
      </c>
      <c r="B458" s="86"/>
      <c r="C458" s="105" t="s">
        <v>37</v>
      </c>
      <c r="D458" s="97" t="s">
        <v>161</v>
      </c>
      <c r="E458" s="87">
        <v>8</v>
      </c>
      <c r="F458" s="627">
        <v>47.37</v>
      </c>
      <c r="G458" s="85">
        <f t="shared" ref="G458:G463" si="13">F458*E458</f>
        <v>378.96</v>
      </c>
      <c r="H458" s="289"/>
    </row>
    <row r="459" spans="1:8" ht="14.25" x14ac:dyDescent="0.2">
      <c r="A459" s="284" t="s">
        <v>1227</v>
      </c>
      <c r="B459" s="86"/>
      <c r="C459" s="105" t="s">
        <v>38</v>
      </c>
      <c r="D459" s="97" t="s">
        <v>161</v>
      </c>
      <c r="E459" s="87">
        <v>16</v>
      </c>
      <c r="F459" s="627">
        <v>47.37</v>
      </c>
      <c r="G459" s="85">
        <f t="shared" si="13"/>
        <v>757.92</v>
      </c>
      <c r="H459" s="289"/>
    </row>
    <row r="460" spans="1:8" x14ac:dyDescent="0.2">
      <c r="A460" s="284" t="s">
        <v>1228</v>
      </c>
      <c r="B460" s="86"/>
      <c r="C460" s="110" t="s">
        <v>437</v>
      </c>
      <c r="D460" s="97" t="s">
        <v>371</v>
      </c>
      <c r="E460" s="87">
        <v>1</v>
      </c>
      <c r="F460" s="627">
        <v>50.75</v>
      </c>
      <c r="G460" s="85">
        <f t="shared" si="13"/>
        <v>50.75</v>
      </c>
      <c r="H460" s="289"/>
    </row>
    <row r="461" spans="1:8" x14ac:dyDescent="0.2">
      <c r="A461" s="284" t="s">
        <v>1229</v>
      </c>
      <c r="B461" s="86"/>
      <c r="C461" s="110" t="s">
        <v>438</v>
      </c>
      <c r="D461" s="97" t="s">
        <v>371</v>
      </c>
      <c r="E461" s="87">
        <v>2</v>
      </c>
      <c r="F461" s="627">
        <v>208.48</v>
      </c>
      <c r="G461" s="85">
        <f t="shared" si="13"/>
        <v>416.96</v>
      </c>
      <c r="H461" s="289"/>
    </row>
    <row r="462" spans="1:8" x14ac:dyDescent="0.2">
      <c r="A462" s="284" t="s">
        <v>1230</v>
      </c>
      <c r="B462" s="86"/>
      <c r="C462" s="110" t="s">
        <v>439</v>
      </c>
      <c r="D462" s="97" t="s">
        <v>371</v>
      </c>
      <c r="E462" s="87">
        <v>2</v>
      </c>
      <c r="F462" s="627">
        <v>441.51</v>
      </c>
      <c r="G462" s="85">
        <f t="shared" si="13"/>
        <v>883.02</v>
      </c>
      <c r="H462" s="289"/>
    </row>
    <row r="463" spans="1:8" x14ac:dyDescent="0.2">
      <c r="A463" s="284" t="s">
        <v>1231</v>
      </c>
      <c r="B463" s="86"/>
      <c r="C463" s="110" t="s">
        <v>606</v>
      </c>
      <c r="D463" s="97" t="s">
        <v>371</v>
      </c>
      <c r="E463" s="87">
        <v>1</v>
      </c>
      <c r="F463" s="627">
        <v>473.64</v>
      </c>
      <c r="G463" s="85">
        <f t="shared" si="13"/>
        <v>473.64</v>
      </c>
      <c r="H463" s="289"/>
    </row>
    <row r="464" spans="1:8" x14ac:dyDescent="0.2">
      <c r="A464" s="284" t="s">
        <v>1232</v>
      </c>
      <c r="B464" s="8" t="s">
        <v>19</v>
      </c>
      <c r="C464" s="11" t="s">
        <v>20</v>
      </c>
      <c r="D464" s="105"/>
      <c r="E464" s="87"/>
      <c r="F464" s="627"/>
      <c r="G464" s="5"/>
      <c r="H464" s="289"/>
    </row>
    <row r="465" spans="1:8" x14ac:dyDescent="0.2">
      <c r="A465" s="284" t="s">
        <v>1233</v>
      </c>
      <c r="B465" s="97"/>
      <c r="C465" s="91" t="s">
        <v>227</v>
      </c>
      <c r="D465" s="97" t="s">
        <v>371</v>
      </c>
      <c r="E465" s="87">
        <v>1</v>
      </c>
      <c r="F465" s="627">
        <v>786.57</v>
      </c>
      <c r="G465" s="85">
        <f t="shared" ref="G465:G470" si="14">F465*E465</f>
        <v>786.57</v>
      </c>
      <c r="H465" s="289"/>
    </row>
    <row r="466" spans="1:8" x14ac:dyDescent="0.2">
      <c r="A466" s="284" t="s">
        <v>1234</v>
      </c>
      <c r="B466" s="8" t="s">
        <v>21</v>
      </c>
      <c r="C466" s="80" t="s">
        <v>166</v>
      </c>
      <c r="D466" s="93"/>
      <c r="E466" s="87"/>
      <c r="F466" s="627"/>
      <c r="G466" s="85"/>
      <c r="H466" s="289"/>
    </row>
    <row r="467" spans="1:8" x14ac:dyDescent="0.2">
      <c r="A467" s="284" t="s">
        <v>1235</v>
      </c>
      <c r="B467" s="97"/>
      <c r="C467" s="105" t="s">
        <v>228</v>
      </c>
      <c r="D467" s="97" t="s">
        <v>371</v>
      </c>
      <c r="E467" s="87">
        <v>3</v>
      </c>
      <c r="F467" s="627">
        <v>25.37</v>
      </c>
      <c r="G467" s="85">
        <f t="shared" si="14"/>
        <v>76.11</v>
      </c>
      <c r="H467" s="289"/>
    </row>
    <row r="468" spans="1:8" x14ac:dyDescent="0.2">
      <c r="A468" s="284" t="s">
        <v>1236</v>
      </c>
      <c r="B468" s="97"/>
      <c r="C468" s="105" t="s">
        <v>229</v>
      </c>
      <c r="D468" s="97" t="s">
        <v>371</v>
      </c>
      <c r="E468" s="87">
        <v>3</v>
      </c>
      <c r="F468" s="627">
        <v>25.37</v>
      </c>
      <c r="G468" s="85">
        <f t="shared" si="14"/>
        <v>76.11</v>
      </c>
      <c r="H468" s="291"/>
    </row>
    <row r="469" spans="1:8" x14ac:dyDescent="0.2">
      <c r="A469" s="284" t="s">
        <v>1237</v>
      </c>
      <c r="B469" s="97"/>
      <c r="C469" s="105" t="s">
        <v>230</v>
      </c>
      <c r="D469" s="97" t="s">
        <v>371</v>
      </c>
      <c r="E469" s="87">
        <v>2</v>
      </c>
      <c r="F469" s="627">
        <v>25.37</v>
      </c>
      <c r="G469" s="85">
        <f t="shared" si="14"/>
        <v>50.74</v>
      </c>
      <c r="H469" s="289"/>
    </row>
    <row r="470" spans="1:8" x14ac:dyDescent="0.2">
      <c r="A470" s="284" t="s">
        <v>1238</v>
      </c>
      <c r="B470" s="86"/>
      <c r="C470" s="110" t="s">
        <v>607</v>
      </c>
      <c r="D470" s="97" t="s">
        <v>160</v>
      </c>
      <c r="E470" s="87">
        <v>3</v>
      </c>
      <c r="F470" s="627">
        <v>25.37</v>
      </c>
      <c r="G470" s="85">
        <f t="shared" si="14"/>
        <v>76.11</v>
      </c>
      <c r="H470" s="291"/>
    </row>
    <row r="471" spans="1:8" x14ac:dyDescent="0.2">
      <c r="A471" s="284"/>
      <c r="B471" s="86"/>
      <c r="C471" s="80" t="s">
        <v>22</v>
      </c>
      <c r="D471" s="76"/>
      <c r="E471" s="76"/>
      <c r="F471" s="627"/>
      <c r="G471" s="96">
        <f>SUM(G458:G470)</f>
        <v>4026.89</v>
      </c>
      <c r="H471" s="289"/>
    </row>
    <row r="472" spans="1:8" x14ac:dyDescent="0.2">
      <c r="A472" s="284" t="s">
        <v>1239</v>
      </c>
      <c r="B472" s="8" t="s">
        <v>358</v>
      </c>
      <c r="C472" s="80" t="s">
        <v>355</v>
      </c>
      <c r="D472" s="103"/>
      <c r="E472" s="103"/>
      <c r="F472" s="627"/>
      <c r="G472" s="103"/>
      <c r="H472" s="291"/>
    </row>
    <row r="473" spans="1:8" ht="25.5" x14ac:dyDescent="0.2">
      <c r="A473" s="284" t="s">
        <v>1240</v>
      </c>
      <c r="B473" s="8" t="s">
        <v>359</v>
      </c>
      <c r="C473" s="80" t="s">
        <v>24</v>
      </c>
      <c r="D473" s="103"/>
      <c r="E473" s="103"/>
      <c r="F473" s="627"/>
      <c r="G473" s="103"/>
      <c r="H473" s="289"/>
    </row>
    <row r="474" spans="1:8" x14ac:dyDescent="0.2">
      <c r="A474" s="284" t="s">
        <v>1241</v>
      </c>
      <c r="B474" s="8" t="s">
        <v>25</v>
      </c>
      <c r="C474" s="80" t="s">
        <v>171</v>
      </c>
      <c r="D474" s="80"/>
      <c r="E474" s="80"/>
      <c r="F474" s="627"/>
      <c r="G474" s="80"/>
      <c r="H474" s="289"/>
    </row>
    <row r="475" spans="1:8" x14ac:dyDescent="0.2">
      <c r="A475" s="284" t="s">
        <v>1242</v>
      </c>
      <c r="B475" s="97"/>
      <c r="C475" s="99" t="s">
        <v>26</v>
      </c>
      <c r="D475" s="97" t="s">
        <v>160</v>
      </c>
      <c r="E475" s="87">
        <v>18</v>
      </c>
      <c r="F475" s="627">
        <v>47.37</v>
      </c>
      <c r="G475" s="85">
        <f t="shared" ref="G475:G508" si="15">F475*E475</f>
        <v>852.66</v>
      </c>
      <c r="H475" s="291"/>
    </row>
    <row r="476" spans="1:8" x14ac:dyDescent="0.2">
      <c r="A476" s="284" t="s">
        <v>1243</v>
      </c>
      <c r="B476" s="97"/>
      <c r="C476" s="99" t="s">
        <v>27</v>
      </c>
      <c r="D476" s="97" t="s">
        <v>160</v>
      </c>
      <c r="E476" s="87">
        <v>18</v>
      </c>
      <c r="F476" s="627">
        <v>36.36</v>
      </c>
      <c r="G476" s="85">
        <f t="shared" si="15"/>
        <v>654.48</v>
      </c>
      <c r="H476" s="289"/>
    </row>
    <row r="477" spans="1:8" x14ac:dyDescent="0.2">
      <c r="A477" s="284" t="s">
        <v>1244</v>
      </c>
      <c r="B477" s="8" t="s">
        <v>28</v>
      </c>
      <c r="C477" s="2" t="s">
        <v>178</v>
      </c>
      <c r="D477" s="2"/>
      <c r="E477" s="4"/>
      <c r="F477" s="627"/>
      <c r="G477" s="5"/>
      <c r="H477" s="291"/>
    </row>
    <row r="478" spans="1:8" x14ac:dyDescent="0.2">
      <c r="A478" s="284" t="s">
        <v>1245</v>
      </c>
      <c r="B478" s="97"/>
      <c r="C478" s="99" t="s">
        <v>29</v>
      </c>
      <c r="D478" s="97" t="s">
        <v>172</v>
      </c>
      <c r="E478" s="87">
        <v>2</v>
      </c>
      <c r="F478" s="627">
        <v>23.67</v>
      </c>
      <c r="G478" s="85">
        <f t="shared" si="15"/>
        <v>47.34</v>
      </c>
      <c r="H478" s="289"/>
    </row>
    <row r="479" spans="1:8" x14ac:dyDescent="0.2">
      <c r="A479" s="284" t="s">
        <v>1246</v>
      </c>
      <c r="B479" s="8" t="s">
        <v>30</v>
      </c>
      <c r="C479" s="2" t="s">
        <v>31</v>
      </c>
      <c r="D479" s="2"/>
      <c r="E479" s="4"/>
      <c r="F479" s="627"/>
      <c r="G479" s="5"/>
      <c r="H479" s="291"/>
    </row>
    <row r="480" spans="1:8" x14ac:dyDescent="0.2">
      <c r="A480" s="284" t="s">
        <v>1247</v>
      </c>
      <c r="B480" s="97"/>
      <c r="C480" s="99" t="s">
        <v>32</v>
      </c>
      <c r="D480" s="97" t="s">
        <v>172</v>
      </c>
      <c r="E480" s="87">
        <v>3</v>
      </c>
      <c r="F480" s="627">
        <v>23.67</v>
      </c>
      <c r="G480" s="85">
        <f t="shared" si="15"/>
        <v>71.010000000000005</v>
      </c>
      <c r="H480" s="289"/>
    </row>
    <row r="481" spans="1:8" x14ac:dyDescent="0.2">
      <c r="A481" s="284" t="s">
        <v>1248</v>
      </c>
      <c r="B481" s="97"/>
      <c r="C481" s="99" t="s">
        <v>33</v>
      </c>
      <c r="D481" s="97" t="s">
        <v>172</v>
      </c>
      <c r="E481" s="87">
        <v>3</v>
      </c>
      <c r="F481" s="627">
        <v>16.920000000000002</v>
      </c>
      <c r="G481" s="85">
        <f t="shared" si="15"/>
        <v>50.760000000000005</v>
      </c>
      <c r="H481" s="289"/>
    </row>
    <row r="482" spans="1:8" x14ac:dyDescent="0.2">
      <c r="A482" s="284" t="s">
        <v>1249</v>
      </c>
      <c r="B482" s="8" t="s">
        <v>34</v>
      </c>
      <c r="C482" s="2" t="s">
        <v>299</v>
      </c>
      <c r="D482" s="2"/>
      <c r="E482" s="4"/>
      <c r="F482" s="627"/>
      <c r="G482" s="5"/>
      <c r="H482" s="291"/>
    </row>
    <row r="483" spans="1:8" x14ac:dyDescent="0.2">
      <c r="A483" s="284" t="s">
        <v>1250</v>
      </c>
      <c r="B483" s="97"/>
      <c r="C483" s="99" t="s">
        <v>81</v>
      </c>
      <c r="D483" s="97" t="s">
        <v>172</v>
      </c>
      <c r="E483" s="87">
        <v>8</v>
      </c>
      <c r="F483" s="627">
        <v>23.67</v>
      </c>
      <c r="G483" s="85">
        <f t="shared" si="15"/>
        <v>189.36</v>
      </c>
      <c r="H483" s="289"/>
    </row>
    <row r="484" spans="1:8" x14ac:dyDescent="0.2">
      <c r="A484" s="284" t="s">
        <v>1251</v>
      </c>
      <c r="B484" s="97"/>
      <c r="C484" s="99" t="s">
        <v>82</v>
      </c>
      <c r="D484" s="97" t="s">
        <v>172</v>
      </c>
      <c r="E484" s="87">
        <v>2</v>
      </c>
      <c r="F484" s="627">
        <v>16.920000000000002</v>
      </c>
      <c r="G484" s="85">
        <f t="shared" si="15"/>
        <v>33.840000000000003</v>
      </c>
      <c r="H484" s="291"/>
    </row>
    <row r="485" spans="1:8" x14ac:dyDescent="0.2">
      <c r="A485" s="284" t="s">
        <v>1252</v>
      </c>
      <c r="B485" s="8" t="s">
        <v>83</v>
      </c>
      <c r="C485" s="2" t="s">
        <v>84</v>
      </c>
      <c r="D485" s="2"/>
      <c r="E485" s="4"/>
      <c r="F485" s="627"/>
      <c r="G485" s="5"/>
      <c r="H485" s="289"/>
    </row>
    <row r="486" spans="1:8" x14ac:dyDescent="0.2">
      <c r="A486" s="284" t="s">
        <v>1253</v>
      </c>
      <c r="B486" s="97"/>
      <c r="C486" s="99" t="s">
        <v>85</v>
      </c>
      <c r="D486" s="97" t="s">
        <v>172</v>
      </c>
      <c r="E486" s="87">
        <v>2</v>
      </c>
      <c r="F486" s="627">
        <v>15.72</v>
      </c>
      <c r="G486" s="85">
        <f t="shared" si="15"/>
        <v>31.44</v>
      </c>
      <c r="H486" s="289"/>
    </row>
    <row r="487" spans="1:8" x14ac:dyDescent="0.2">
      <c r="A487" s="284" t="s">
        <v>1254</v>
      </c>
      <c r="B487" s="8" t="s">
        <v>86</v>
      </c>
      <c r="C487" s="2" t="s">
        <v>179</v>
      </c>
      <c r="D487" s="2"/>
      <c r="E487" s="4"/>
      <c r="F487" s="627"/>
      <c r="G487" s="5"/>
      <c r="H487" s="291"/>
    </row>
    <row r="488" spans="1:8" x14ac:dyDescent="0.2">
      <c r="A488" s="284" t="s">
        <v>1255</v>
      </c>
      <c r="B488" s="97"/>
      <c r="C488" s="99" t="s">
        <v>87</v>
      </c>
      <c r="D488" s="97" t="s">
        <v>172</v>
      </c>
      <c r="E488" s="87">
        <v>3</v>
      </c>
      <c r="F488" s="627">
        <v>90.5</v>
      </c>
      <c r="G488" s="85">
        <f t="shared" si="15"/>
        <v>271.5</v>
      </c>
      <c r="H488" s="291"/>
    </row>
    <row r="489" spans="1:8" x14ac:dyDescent="0.2">
      <c r="A489" s="284" t="s">
        <v>1256</v>
      </c>
      <c r="B489" s="8" t="s">
        <v>88</v>
      </c>
      <c r="C489" s="2" t="s">
        <v>89</v>
      </c>
      <c r="D489" s="2"/>
      <c r="E489" s="4"/>
      <c r="F489" s="627"/>
      <c r="G489" s="5"/>
      <c r="H489" s="289"/>
    </row>
    <row r="490" spans="1:8" x14ac:dyDescent="0.2">
      <c r="A490" s="284" t="s">
        <v>1257</v>
      </c>
      <c r="B490" s="97"/>
      <c r="C490" s="99" t="s">
        <v>90</v>
      </c>
      <c r="D490" s="97" t="s">
        <v>172</v>
      </c>
      <c r="E490" s="87">
        <v>3</v>
      </c>
      <c r="F490" s="627">
        <v>23.67</v>
      </c>
      <c r="G490" s="85">
        <f t="shared" si="15"/>
        <v>71.010000000000005</v>
      </c>
      <c r="H490" s="291"/>
    </row>
    <row r="491" spans="1:8" x14ac:dyDescent="0.2">
      <c r="A491" s="284" t="s">
        <v>1258</v>
      </c>
      <c r="B491" s="97"/>
      <c r="C491" s="99" t="s">
        <v>91</v>
      </c>
      <c r="D491" s="97" t="s">
        <v>172</v>
      </c>
      <c r="E491" s="87">
        <v>5</v>
      </c>
      <c r="F491" s="627">
        <v>23.67</v>
      </c>
      <c r="G491" s="85">
        <f t="shared" si="15"/>
        <v>118.35000000000001</v>
      </c>
      <c r="H491" s="289"/>
    </row>
    <row r="492" spans="1:8" x14ac:dyDescent="0.2">
      <c r="A492" s="284" t="s">
        <v>1259</v>
      </c>
      <c r="B492" s="8" t="s">
        <v>92</v>
      </c>
      <c r="C492" s="2" t="s">
        <v>93</v>
      </c>
      <c r="D492" s="2"/>
      <c r="E492" s="4"/>
      <c r="F492" s="627"/>
      <c r="G492" s="5"/>
      <c r="H492" s="289"/>
    </row>
    <row r="493" spans="1:8" x14ac:dyDescent="0.2">
      <c r="A493" s="284" t="s">
        <v>1260</v>
      </c>
      <c r="B493" s="97"/>
      <c r="C493" s="99" t="s">
        <v>94</v>
      </c>
      <c r="D493" s="97" t="s">
        <v>172</v>
      </c>
      <c r="E493" s="87">
        <v>4</v>
      </c>
      <c r="F493" s="627">
        <v>151.35</v>
      </c>
      <c r="G493" s="85">
        <f t="shared" si="15"/>
        <v>605.4</v>
      </c>
      <c r="H493" s="291"/>
    </row>
    <row r="494" spans="1:8" ht="13.5" thickBot="1" x14ac:dyDescent="0.25">
      <c r="A494" s="303" t="s">
        <v>1261</v>
      </c>
      <c r="B494" s="402" t="s">
        <v>95</v>
      </c>
      <c r="C494" s="364" t="s">
        <v>96</v>
      </c>
      <c r="D494" s="364"/>
      <c r="E494" s="365"/>
      <c r="F494" s="628"/>
      <c r="G494" s="414"/>
      <c r="H494" s="308"/>
    </row>
    <row r="495" spans="1:8" x14ac:dyDescent="0.2">
      <c r="A495" s="276" t="s">
        <v>1262</v>
      </c>
      <c r="B495" s="399"/>
      <c r="C495" s="400" t="s">
        <v>97</v>
      </c>
      <c r="D495" s="399" t="s">
        <v>172</v>
      </c>
      <c r="E495" s="280">
        <v>1</v>
      </c>
      <c r="F495" s="629">
        <v>23.67</v>
      </c>
      <c r="G495" s="281">
        <f t="shared" si="15"/>
        <v>23.67</v>
      </c>
      <c r="H495" s="415"/>
    </row>
    <row r="496" spans="1:8" x14ac:dyDescent="0.2">
      <c r="A496" s="284" t="s">
        <v>1263</v>
      </c>
      <c r="B496" s="97"/>
      <c r="C496" s="99" t="s">
        <v>98</v>
      </c>
      <c r="D496" s="97" t="s">
        <v>172</v>
      </c>
      <c r="E496" s="87">
        <v>2</v>
      </c>
      <c r="F496" s="627">
        <v>16.920000000000002</v>
      </c>
      <c r="G496" s="85">
        <f t="shared" si="15"/>
        <v>33.840000000000003</v>
      </c>
      <c r="H496" s="289"/>
    </row>
    <row r="497" spans="1:8" x14ac:dyDescent="0.2">
      <c r="A497" s="284" t="s">
        <v>1264</v>
      </c>
      <c r="B497" s="8" t="s">
        <v>99</v>
      </c>
      <c r="C497" s="2" t="s">
        <v>167</v>
      </c>
      <c r="D497" s="2"/>
      <c r="E497" s="4"/>
      <c r="F497" s="627"/>
      <c r="G497" s="5"/>
      <c r="H497" s="291"/>
    </row>
    <row r="498" spans="1:8" x14ac:dyDescent="0.2">
      <c r="A498" s="284" t="s">
        <v>1265</v>
      </c>
      <c r="B498" s="8" t="s">
        <v>100</v>
      </c>
      <c r="C498" s="2" t="s">
        <v>101</v>
      </c>
      <c r="D498" s="2"/>
      <c r="E498" s="4"/>
      <c r="F498" s="627"/>
      <c r="G498" s="5"/>
      <c r="H498" s="289"/>
    </row>
    <row r="499" spans="1:8" x14ac:dyDescent="0.2">
      <c r="A499" s="284" t="s">
        <v>1266</v>
      </c>
      <c r="B499" s="97"/>
      <c r="C499" s="99" t="s">
        <v>102</v>
      </c>
      <c r="D499" s="97" t="s">
        <v>172</v>
      </c>
      <c r="E499" s="87">
        <v>2</v>
      </c>
      <c r="F499" s="627">
        <v>29.59</v>
      </c>
      <c r="G499" s="85">
        <f t="shared" si="15"/>
        <v>59.18</v>
      </c>
      <c r="H499" s="289"/>
    </row>
    <row r="500" spans="1:8" x14ac:dyDescent="0.2">
      <c r="A500" s="284" t="s">
        <v>1267</v>
      </c>
      <c r="B500" s="8" t="s">
        <v>103</v>
      </c>
      <c r="C500" s="2" t="s">
        <v>104</v>
      </c>
      <c r="D500" s="2"/>
      <c r="E500" s="4"/>
      <c r="F500" s="627"/>
      <c r="G500" s="5"/>
      <c r="H500" s="289"/>
    </row>
    <row r="501" spans="1:8" x14ac:dyDescent="0.2">
      <c r="A501" s="284" t="s">
        <v>1268</v>
      </c>
      <c r="B501" s="97"/>
      <c r="C501" s="99" t="s">
        <v>105</v>
      </c>
      <c r="D501" s="97" t="s">
        <v>172</v>
      </c>
      <c r="E501" s="87">
        <v>1</v>
      </c>
      <c r="F501" s="627">
        <v>395.82</v>
      </c>
      <c r="G501" s="85">
        <f t="shared" si="15"/>
        <v>395.82</v>
      </c>
      <c r="H501" s="289"/>
    </row>
    <row r="502" spans="1:8" x14ac:dyDescent="0.2">
      <c r="A502" s="284" t="s">
        <v>1269</v>
      </c>
      <c r="B502" s="97"/>
      <c r="C502" s="99" t="s">
        <v>150</v>
      </c>
      <c r="D502" s="97" t="s">
        <v>172</v>
      </c>
      <c r="E502" s="87">
        <v>2</v>
      </c>
      <c r="F502" s="627">
        <v>395.82</v>
      </c>
      <c r="G502" s="85">
        <f t="shared" si="15"/>
        <v>791.64</v>
      </c>
      <c r="H502" s="289"/>
    </row>
    <row r="503" spans="1:8" x14ac:dyDescent="0.2">
      <c r="A503" s="284" t="s">
        <v>1270</v>
      </c>
      <c r="B503" s="8" t="s">
        <v>151</v>
      </c>
      <c r="C503" s="2" t="s">
        <v>152</v>
      </c>
      <c r="D503" s="2"/>
      <c r="E503" s="4"/>
      <c r="F503" s="627"/>
      <c r="G503" s="5"/>
      <c r="H503" s="289"/>
    </row>
    <row r="504" spans="1:8" x14ac:dyDescent="0.2">
      <c r="A504" s="284" t="s">
        <v>1271</v>
      </c>
      <c r="B504" s="97"/>
      <c r="C504" s="99" t="s">
        <v>153</v>
      </c>
      <c r="D504" s="97" t="s">
        <v>172</v>
      </c>
      <c r="E504" s="87">
        <v>2</v>
      </c>
      <c r="F504" s="627">
        <v>26.71</v>
      </c>
      <c r="G504" s="85">
        <f t="shared" si="15"/>
        <v>53.42</v>
      </c>
      <c r="H504" s="289"/>
    </row>
    <row r="505" spans="1:8" x14ac:dyDescent="0.2">
      <c r="A505" s="284" t="s">
        <v>1272</v>
      </c>
      <c r="B505" s="8" t="s">
        <v>154</v>
      </c>
      <c r="C505" s="2" t="s">
        <v>155</v>
      </c>
      <c r="D505" s="2"/>
      <c r="E505" s="4"/>
      <c r="F505" s="627"/>
      <c r="G505" s="5"/>
      <c r="H505" s="289"/>
    </row>
    <row r="506" spans="1:8" x14ac:dyDescent="0.2">
      <c r="A506" s="284" t="s">
        <v>1273</v>
      </c>
      <c r="B506" s="97"/>
      <c r="C506" s="99" t="s">
        <v>156</v>
      </c>
      <c r="D506" s="97" t="s">
        <v>172</v>
      </c>
      <c r="E506" s="87">
        <v>1</v>
      </c>
      <c r="F506" s="627">
        <v>115.02</v>
      </c>
      <c r="G506" s="85">
        <f t="shared" si="15"/>
        <v>115.02</v>
      </c>
      <c r="H506" s="289"/>
    </row>
    <row r="507" spans="1:8" x14ac:dyDescent="0.2">
      <c r="A507" s="284" t="s">
        <v>1274</v>
      </c>
      <c r="B507" s="8" t="s">
        <v>157</v>
      </c>
      <c r="C507" s="2" t="s">
        <v>158</v>
      </c>
      <c r="D507" s="2"/>
      <c r="E507" s="4"/>
      <c r="F507" s="627"/>
      <c r="G507" s="5"/>
      <c r="H507" s="289"/>
    </row>
    <row r="508" spans="1:8" x14ac:dyDescent="0.2">
      <c r="A508" s="284" t="s">
        <v>1275</v>
      </c>
      <c r="B508" s="97"/>
      <c r="C508" s="99" t="s">
        <v>159</v>
      </c>
      <c r="D508" s="97" t="s">
        <v>172</v>
      </c>
      <c r="E508" s="87">
        <v>6</v>
      </c>
      <c r="F508" s="627">
        <v>1.96</v>
      </c>
      <c r="G508" s="85">
        <f t="shared" si="15"/>
        <v>11.76</v>
      </c>
      <c r="H508" s="289"/>
    </row>
    <row r="509" spans="1:8" x14ac:dyDescent="0.2">
      <c r="A509" s="284"/>
      <c r="B509" s="86"/>
      <c r="C509" s="80" t="s">
        <v>475</v>
      </c>
      <c r="D509" s="76"/>
      <c r="E509" s="76"/>
      <c r="F509" s="627"/>
      <c r="G509" s="96">
        <f>SUM(G475:G508)</f>
        <v>4481.5000000000009</v>
      </c>
      <c r="H509" s="287">
        <f>SUM(G509+G471+G455)</f>
        <v>9843.84</v>
      </c>
    </row>
    <row r="510" spans="1:8" ht="25.5" x14ac:dyDescent="0.2">
      <c r="A510" s="284" t="s">
        <v>1276</v>
      </c>
      <c r="B510" s="81" t="s">
        <v>303</v>
      </c>
      <c r="C510" s="80" t="s">
        <v>304</v>
      </c>
      <c r="D510" s="103"/>
      <c r="E510" s="103"/>
      <c r="F510" s="627"/>
      <c r="G510" s="103"/>
      <c r="H510" s="286"/>
    </row>
    <row r="511" spans="1:8" x14ac:dyDescent="0.2">
      <c r="A511" s="284" t="s">
        <v>1277</v>
      </c>
      <c r="B511" s="81" t="s">
        <v>305</v>
      </c>
      <c r="C511" s="80" t="s">
        <v>306</v>
      </c>
      <c r="D511" s="80"/>
      <c r="E511" s="80"/>
      <c r="F511" s="627"/>
      <c r="G511" s="80"/>
      <c r="H511" s="285"/>
    </row>
    <row r="512" spans="1:8" x14ac:dyDescent="0.2">
      <c r="A512" s="284" t="s">
        <v>1278</v>
      </c>
      <c r="B512" s="86"/>
      <c r="C512" s="99" t="s">
        <v>307</v>
      </c>
      <c r="D512" s="86" t="s">
        <v>165</v>
      </c>
      <c r="E512" s="87">
        <v>1</v>
      </c>
      <c r="F512" s="627">
        <v>186.06</v>
      </c>
      <c r="G512" s="88">
        <f>F512*E512</f>
        <v>186.06</v>
      </c>
      <c r="H512" s="286"/>
    </row>
    <row r="513" spans="1:8" x14ac:dyDescent="0.2">
      <c r="A513" s="284" t="s">
        <v>1279</v>
      </c>
      <c r="B513" s="86"/>
      <c r="C513" s="99" t="s">
        <v>308</v>
      </c>
      <c r="D513" s="86" t="s">
        <v>160</v>
      </c>
      <c r="E513" s="87">
        <v>20</v>
      </c>
      <c r="F513" s="627">
        <v>28.48</v>
      </c>
      <c r="G513" s="88">
        <f>F513*E513</f>
        <v>569.6</v>
      </c>
      <c r="H513" s="286"/>
    </row>
    <row r="514" spans="1:8" x14ac:dyDescent="0.2">
      <c r="A514" s="284" t="s">
        <v>1280</v>
      </c>
      <c r="B514" s="81" t="s">
        <v>310</v>
      </c>
      <c r="C514" s="2" t="s">
        <v>311</v>
      </c>
      <c r="D514" s="2"/>
      <c r="E514" s="4"/>
      <c r="F514" s="627"/>
      <c r="G514" s="4"/>
      <c r="H514" s="286"/>
    </row>
    <row r="515" spans="1:8" x14ac:dyDescent="0.2">
      <c r="A515" s="284" t="s">
        <v>1281</v>
      </c>
      <c r="B515" s="86"/>
      <c r="C515" s="63" t="s">
        <v>312</v>
      </c>
      <c r="D515" s="86" t="s">
        <v>165</v>
      </c>
      <c r="E515" s="87">
        <v>31</v>
      </c>
      <c r="F515" s="627">
        <v>7.18</v>
      </c>
      <c r="G515" s="88">
        <f>F515*E515</f>
        <v>222.57999999999998</v>
      </c>
      <c r="H515" s="285"/>
    </row>
    <row r="516" spans="1:8" x14ac:dyDescent="0.2">
      <c r="A516" s="284" t="s">
        <v>1282</v>
      </c>
      <c r="B516" s="86"/>
      <c r="C516" s="63" t="s">
        <v>313</v>
      </c>
      <c r="D516" s="86" t="s">
        <v>165</v>
      </c>
      <c r="E516" s="87">
        <v>17</v>
      </c>
      <c r="F516" s="627">
        <v>2.88</v>
      </c>
      <c r="G516" s="88">
        <f>F516*E516</f>
        <v>48.96</v>
      </c>
      <c r="H516" s="286"/>
    </row>
    <row r="517" spans="1:8" x14ac:dyDescent="0.2">
      <c r="A517" s="284" t="s">
        <v>1283</v>
      </c>
      <c r="B517" s="81" t="s">
        <v>314</v>
      </c>
      <c r="C517" s="2" t="s">
        <v>315</v>
      </c>
      <c r="D517" s="2"/>
      <c r="E517" s="4"/>
      <c r="F517" s="627"/>
      <c r="G517" s="4"/>
      <c r="H517" s="286"/>
    </row>
    <row r="518" spans="1:8" x14ac:dyDescent="0.2">
      <c r="A518" s="284" t="s">
        <v>1284</v>
      </c>
      <c r="B518" s="81" t="s">
        <v>316</v>
      </c>
      <c r="C518" s="2" t="s">
        <v>317</v>
      </c>
      <c r="D518" s="2"/>
      <c r="E518" s="4"/>
      <c r="F518" s="627"/>
      <c r="G518" s="4"/>
      <c r="H518" s="286"/>
    </row>
    <row r="519" spans="1:8" x14ac:dyDescent="0.2">
      <c r="A519" s="284" t="s">
        <v>1285</v>
      </c>
      <c r="B519" s="86"/>
      <c r="C519" s="114" t="s">
        <v>309</v>
      </c>
      <c r="D519" s="86" t="s">
        <v>165</v>
      </c>
      <c r="E519" s="87">
        <v>23</v>
      </c>
      <c r="F519" s="627">
        <v>42.28</v>
      </c>
      <c r="G519" s="88">
        <f>F519*E519</f>
        <v>972.44</v>
      </c>
      <c r="H519" s="286"/>
    </row>
    <row r="520" spans="1:8" ht="25.5" x14ac:dyDescent="0.2">
      <c r="A520" s="284" t="s">
        <v>1286</v>
      </c>
      <c r="B520" s="86"/>
      <c r="C520" s="114" t="s">
        <v>318</v>
      </c>
      <c r="D520" s="86" t="s">
        <v>165</v>
      </c>
      <c r="E520" s="87">
        <v>2</v>
      </c>
      <c r="F520" s="627">
        <v>109.95</v>
      </c>
      <c r="G520" s="88">
        <f>F520*E520</f>
        <v>219.9</v>
      </c>
      <c r="H520" s="286"/>
    </row>
    <row r="521" spans="1:8" x14ac:dyDescent="0.2">
      <c r="A521" s="284" t="s">
        <v>1287</v>
      </c>
      <c r="B521" s="86"/>
      <c r="C521" s="63" t="s">
        <v>319</v>
      </c>
      <c r="D521" s="97" t="s">
        <v>160</v>
      </c>
      <c r="E521" s="87">
        <v>41</v>
      </c>
      <c r="F521" s="627">
        <v>42.28</v>
      </c>
      <c r="G521" s="88">
        <f>F521*E521</f>
        <v>1733.48</v>
      </c>
      <c r="H521" s="286"/>
    </row>
    <row r="522" spans="1:8" x14ac:dyDescent="0.2">
      <c r="A522" s="284" t="s">
        <v>1288</v>
      </c>
      <c r="B522" s="81" t="s">
        <v>320</v>
      </c>
      <c r="C522" s="1" t="s">
        <v>599</v>
      </c>
      <c r="D522" s="81"/>
      <c r="E522" s="3"/>
      <c r="F522" s="627"/>
      <c r="G522" s="88"/>
      <c r="H522" s="286"/>
    </row>
    <row r="523" spans="1:8" x14ac:dyDescent="0.2">
      <c r="A523" s="284" t="s">
        <v>1289</v>
      </c>
      <c r="B523" s="89"/>
      <c r="C523" s="63" t="s">
        <v>321</v>
      </c>
      <c r="D523" s="86" t="s">
        <v>165</v>
      </c>
      <c r="E523" s="87">
        <v>2</v>
      </c>
      <c r="F523" s="627">
        <v>189.45</v>
      </c>
      <c r="G523" s="88">
        <f>F523*E523</f>
        <v>378.9</v>
      </c>
      <c r="H523" s="286"/>
    </row>
    <row r="524" spans="1:8" x14ac:dyDescent="0.2">
      <c r="A524" s="284"/>
      <c r="B524" s="89"/>
      <c r="C524" s="80" t="s">
        <v>129</v>
      </c>
      <c r="D524" s="76"/>
      <c r="E524" s="76"/>
      <c r="F524" s="627"/>
      <c r="G524" s="96">
        <f>SUM(G512:G523)</f>
        <v>4331.92</v>
      </c>
      <c r="H524" s="287">
        <f>SUM(G524)</f>
        <v>4331.92</v>
      </c>
    </row>
    <row r="525" spans="1:8" x14ac:dyDescent="0.2">
      <c r="A525" s="284" t="s">
        <v>1290</v>
      </c>
      <c r="B525" s="14" t="s">
        <v>505</v>
      </c>
      <c r="C525" s="77" t="s">
        <v>1291</v>
      </c>
      <c r="D525" s="91"/>
      <c r="E525" s="91"/>
      <c r="F525" s="627"/>
      <c r="G525" s="91"/>
      <c r="H525" s="289"/>
    </row>
    <row r="526" spans="1:8" x14ac:dyDescent="0.2">
      <c r="A526" s="284" t="s">
        <v>1292</v>
      </c>
      <c r="B526" s="50"/>
      <c r="C526" s="100" t="s">
        <v>3</v>
      </c>
      <c r="D526" s="50" t="s">
        <v>111</v>
      </c>
      <c r="E526" s="87">
        <v>43.5</v>
      </c>
      <c r="F526" s="627">
        <v>565.46</v>
      </c>
      <c r="G526" s="85">
        <f t="shared" ref="G526:G546" si="16">E526*F526</f>
        <v>24597.510000000002</v>
      </c>
      <c r="H526" s="289"/>
    </row>
    <row r="527" spans="1:8" x14ac:dyDescent="0.2">
      <c r="A527" s="284" t="s">
        <v>1293</v>
      </c>
      <c r="B527" s="50"/>
      <c r="C527" s="92" t="s">
        <v>235</v>
      </c>
      <c r="D527" s="50" t="s">
        <v>111</v>
      </c>
      <c r="E527" s="87">
        <v>10.5</v>
      </c>
      <c r="F527" s="627">
        <v>565.46</v>
      </c>
      <c r="G527" s="85">
        <f t="shared" si="16"/>
        <v>5937.33</v>
      </c>
      <c r="H527" s="289"/>
    </row>
    <row r="528" spans="1:8" x14ac:dyDescent="0.2">
      <c r="A528" s="284" t="s">
        <v>1294</v>
      </c>
      <c r="B528" s="50"/>
      <c r="C528" s="92" t="s">
        <v>236</v>
      </c>
      <c r="D528" s="50" t="s">
        <v>111</v>
      </c>
      <c r="E528" s="87">
        <v>53</v>
      </c>
      <c r="F528" s="627">
        <v>380.08</v>
      </c>
      <c r="G528" s="85">
        <f t="shared" si="16"/>
        <v>20144.239999999998</v>
      </c>
      <c r="H528" s="289"/>
    </row>
    <row r="529" spans="1:8" x14ac:dyDescent="0.2">
      <c r="A529" s="284" t="s">
        <v>1295</v>
      </c>
      <c r="B529" s="50"/>
      <c r="C529" s="92" t="s">
        <v>4</v>
      </c>
      <c r="D529" s="50" t="s">
        <v>111</v>
      </c>
      <c r="E529" s="87">
        <v>35.700000000000003</v>
      </c>
      <c r="F529" s="627">
        <v>394.75</v>
      </c>
      <c r="G529" s="85">
        <f t="shared" si="16"/>
        <v>14092.575000000001</v>
      </c>
      <c r="H529" s="289"/>
    </row>
    <row r="530" spans="1:8" x14ac:dyDescent="0.2">
      <c r="A530" s="284" t="s">
        <v>1296</v>
      </c>
      <c r="B530" s="50"/>
      <c r="C530" s="92" t="s">
        <v>5</v>
      </c>
      <c r="D530" s="50" t="s">
        <v>160</v>
      </c>
      <c r="E530" s="87">
        <v>65.8</v>
      </c>
      <c r="F530" s="627">
        <v>32.32</v>
      </c>
      <c r="G530" s="85">
        <f t="shared" si="16"/>
        <v>2126.6559999999999</v>
      </c>
      <c r="H530" s="289"/>
    </row>
    <row r="531" spans="1:8" x14ac:dyDescent="0.2">
      <c r="A531" s="284" t="s">
        <v>1297</v>
      </c>
      <c r="B531" s="50"/>
      <c r="C531" s="92" t="s">
        <v>6</v>
      </c>
      <c r="D531" s="50" t="s">
        <v>160</v>
      </c>
      <c r="E531" s="87">
        <f>E530+(2*2)+(2*0.4)+(2*2.45)+(2.6+0.8+1.55+0.5+1.55)+(1.8+0.5+1.2)+(2.25+4.85+6.4)</f>
        <v>99.5</v>
      </c>
      <c r="F531" s="627">
        <v>32.32</v>
      </c>
      <c r="G531" s="85">
        <f t="shared" si="16"/>
        <v>3215.84</v>
      </c>
      <c r="H531" s="289"/>
    </row>
    <row r="532" spans="1:8" x14ac:dyDescent="0.2">
      <c r="A532" s="284" t="s">
        <v>1298</v>
      </c>
      <c r="B532" s="50"/>
      <c r="C532" s="92" t="s">
        <v>7</v>
      </c>
      <c r="D532" s="50" t="s">
        <v>160</v>
      </c>
      <c r="E532" s="87">
        <f>5*(3.9+1.2)+(4*1.65)+3*(2.55+1.65)+6*(1.65+1.05)+(1.2*4)+(0.8*6)+2*(1.65*4*3)+(3*0.9*3)+2*(1.65*3)+(0.6*3)+(0.45*2)</f>
        <v>130.80000000000001</v>
      </c>
      <c r="F532" s="627">
        <v>32.32</v>
      </c>
      <c r="G532" s="85">
        <f t="shared" si="16"/>
        <v>4227.4560000000001</v>
      </c>
      <c r="H532" s="289"/>
    </row>
    <row r="533" spans="1:8" x14ac:dyDescent="0.2">
      <c r="A533" s="284" t="s">
        <v>1299</v>
      </c>
      <c r="B533" s="50"/>
      <c r="C533" s="92" t="s">
        <v>8</v>
      </c>
      <c r="D533" s="50" t="s">
        <v>160</v>
      </c>
      <c r="E533" s="87">
        <v>90.4</v>
      </c>
      <c r="F533" s="627">
        <v>32.32</v>
      </c>
      <c r="G533" s="85">
        <f t="shared" si="16"/>
        <v>2921.7280000000001</v>
      </c>
      <c r="H533" s="289"/>
    </row>
    <row r="534" spans="1:8" x14ac:dyDescent="0.2">
      <c r="A534" s="284" t="s">
        <v>1300</v>
      </c>
      <c r="B534" s="50"/>
      <c r="C534" s="92" t="s">
        <v>237</v>
      </c>
      <c r="D534" s="50" t="s">
        <v>160</v>
      </c>
      <c r="E534" s="87">
        <v>19.2</v>
      </c>
      <c r="F534" s="627">
        <v>32.32</v>
      </c>
      <c r="G534" s="85">
        <f t="shared" si="16"/>
        <v>620.54399999999998</v>
      </c>
      <c r="H534" s="289"/>
    </row>
    <row r="535" spans="1:8" x14ac:dyDescent="0.2">
      <c r="A535" s="284" t="s">
        <v>1301</v>
      </c>
      <c r="B535" s="50"/>
      <c r="C535" s="92" t="s">
        <v>71</v>
      </c>
      <c r="D535" s="97" t="s">
        <v>172</v>
      </c>
      <c r="E535" s="87">
        <v>2</v>
      </c>
      <c r="F535" s="627">
        <v>343.06</v>
      </c>
      <c r="G535" s="85">
        <f t="shared" si="16"/>
        <v>686.12</v>
      </c>
      <c r="H535" s="289"/>
    </row>
    <row r="536" spans="1:8" x14ac:dyDescent="0.2">
      <c r="A536" s="284" t="s">
        <v>1302</v>
      </c>
      <c r="B536" s="50"/>
      <c r="C536" s="92" t="s">
        <v>9</v>
      </c>
      <c r="D536" s="50" t="s">
        <v>160</v>
      </c>
      <c r="E536" s="87">
        <v>10.9</v>
      </c>
      <c r="F536" s="627">
        <v>138.53</v>
      </c>
      <c r="G536" s="85">
        <f t="shared" si="16"/>
        <v>1509.9770000000001</v>
      </c>
      <c r="H536" s="289"/>
    </row>
    <row r="537" spans="1:8" x14ac:dyDescent="0.2">
      <c r="A537" s="284" t="s">
        <v>1303</v>
      </c>
      <c r="B537" s="50"/>
      <c r="C537" s="92" t="s">
        <v>72</v>
      </c>
      <c r="D537" s="50" t="s">
        <v>160</v>
      </c>
      <c r="E537" s="87">
        <v>11.79</v>
      </c>
      <c r="F537" s="627">
        <v>323.25</v>
      </c>
      <c r="G537" s="85">
        <f t="shared" si="16"/>
        <v>3811.1174999999998</v>
      </c>
      <c r="H537" s="289"/>
    </row>
    <row r="538" spans="1:8" ht="13.5" thickBot="1" x14ac:dyDescent="0.25">
      <c r="A538" s="303" t="s">
        <v>1304</v>
      </c>
      <c r="B538" s="304"/>
      <c r="C538" s="416" t="s">
        <v>10</v>
      </c>
      <c r="D538" s="381" t="s">
        <v>172</v>
      </c>
      <c r="E538" s="306">
        <v>1</v>
      </c>
      <c r="F538" s="628">
        <v>1385.4</v>
      </c>
      <c r="G538" s="313">
        <f t="shared" si="16"/>
        <v>1385.4</v>
      </c>
      <c r="H538" s="308"/>
    </row>
    <row r="539" spans="1:8" x14ac:dyDescent="0.2">
      <c r="A539" s="369" t="s">
        <v>1305</v>
      </c>
      <c r="B539" s="420"/>
      <c r="C539" s="421" t="s">
        <v>238</v>
      </c>
      <c r="D539" s="420" t="s">
        <v>73</v>
      </c>
      <c r="E539" s="372">
        <v>2</v>
      </c>
      <c r="F539" s="635">
        <v>461.79</v>
      </c>
      <c r="G539" s="422">
        <f t="shared" si="16"/>
        <v>923.58</v>
      </c>
      <c r="H539" s="374"/>
    </row>
    <row r="540" spans="1:8" x14ac:dyDescent="0.2">
      <c r="A540" s="343" t="s">
        <v>1306</v>
      </c>
      <c r="B540" s="417"/>
      <c r="C540" s="418" t="s">
        <v>239</v>
      </c>
      <c r="D540" s="417" t="s">
        <v>172</v>
      </c>
      <c r="E540" s="367">
        <v>8</v>
      </c>
      <c r="F540" s="632">
        <v>151.74</v>
      </c>
      <c r="G540" s="419">
        <f t="shared" si="16"/>
        <v>1213.92</v>
      </c>
      <c r="H540" s="344"/>
    </row>
    <row r="541" spans="1:8" x14ac:dyDescent="0.2">
      <c r="A541" s="300" t="s">
        <v>1307</v>
      </c>
      <c r="B541" s="301"/>
      <c r="C541" s="119" t="s">
        <v>240</v>
      </c>
      <c r="D541" s="301" t="s">
        <v>73</v>
      </c>
      <c r="E541" s="271">
        <v>2</v>
      </c>
      <c r="F541" s="634">
        <v>303.45999999999998</v>
      </c>
      <c r="G541" s="272">
        <f t="shared" si="16"/>
        <v>606.91999999999996</v>
      </c>
      <c r="H541" s="317"/>
    </row>
    <row r="542" spans="1:8" x14ac:dyDescent="0.2">
      <c r="A542" s="284" t="s">
        <v>1308</v>
      </c>
      <c r="B542" s="50"/>
      <c r="C542" s="92" t="s">
        <v>74</v>
      </c>
      <c r="D542" s="50" t="s">
        <v>160</v>
      </c>
      <c r="E542" s="87">
        <v>2.85</v>
      </c>
      <c r="F542" s="627">
        <v>253.32</v>
      </c>
      <c r="G542" s="85">
        <f t="shared" si="16"/>
        <v>721.96199999999999</v>
      </c>
      <c r="H542" s="286"/>
    </row>
    <row r="543" spans="1:8" x14ac:dyDescent="0.2">
      <c r="A543" s="284" t="s">
        <v>1309</v>
      </c>
      <c r="B543" s="50"/>
      <c r="C543" s="92" t="s">
        <v>75</v>
      </c>
      <c r="D543" s="50" t="s">
        <v>160</v>
      </c>
      <c r="E543" s="87">
        <f>4.6*2</f>
        <v>9.1999999999999993</v>
      </c>
      <c r="F543" s="627">
        <v>395.82</v>
      </c>
      <c r="G543" s="85">
        <f t="shared" si="16"/>
        <v>3641.5439999999999</v>
      </c>
      <c r="H543" s="286"/>
    </row>
    <row r="544" spans="1:8" x14ac:dyDescent="0.2">
      <c r="A544" s="284" t="s">
        <v>1310</v>
      </c>
      <c r="B544" s="50"/>
      <c r="C544" s="92" t="s">
        <v>76</v>
      </c>
      <c r="D544" s="97" t="s">
        <v>172</v>
      </c>
      <c r="E544" s="87">
        <v>3</v>
      </c>
      <c r="F544" s="627">
        <v>853.52</v>
      </c>
      <c r="G544" s="85">
        <f t="shared" si="16"/>
        <v>2560.56</v>
      </c>
      <c r="H544" s="286"/>
    </row>
    <row r="545" spans="1:8" x14ac:dyDescent="0.2">
      <c r="A545" s="284" t="s">
        <v>1311</v>
      </c>
      <c r="B545" s="50"/>
      <c r="C545" s="92" t="s">
        <v>77</v>
      </c>
      <c r="D545" s="97" t="s">
        <v>172</v>
      </c>
      <c r="E545" s="87">
        <v>2</v>
      </c>
      <c r="F545" s="627">
        <v>352.55</v>
      </c>
      <c r="G545" s="85">
        <f t="shared" si="16"/>
        <v>705.1</v>
      </c>
      <c r="H545" s="286"/>
    </row>
    <row r="546" spans="1:8" x14ac:dyDescent="0.2">
      <c r="A546" s="284" t="s">
        <v>1312</v>
      </c>
      <c r="B546" s="50"/>
      <c r="C546" s="92" t="s">
        <v>78</v>
      </c>
      <c r="D546" s="97" t="s">
        <v>172</v>
      </c>
      <c r="E546" s="87">
        <v>1</v>
      </c>
      <c r="F546" s="627">
        <v>105.55</v>
      </c>
      <c r="G546" s="85">
        <f t="shared" si="16"/>
        <v>105.55</v>
      </c>
      <c r="H546" s="286"/>
    </row>
    <row r="547" spans="1:8" x14ac:dyDescent="0.2">
      <c r="A547" s="284"/>
      <c r="B547" s="89"/>
      <c r="C547" s="94" t="s">
        <v>506</v>
      </c>
      <c r="D547" s="95"/>
      <c r="E547" s="95"/>
      <c r="F547" s="627"/>
      <c r="G547" s="96">
        <f>SUM(G526:G546)</f>
        <v>95755.629499999981</v>
      </c>
      <c r="H547" s="287">
        <f>SUM(G547)</f>
        <v>95755.629499999981</v>
      </c>
    </row>
    <row r="548" spans="1:8" x14ac:dyDescent="0.2">
      <c r="A548" s="284" t="s">
        <v>1313</v>
      </c>
      <c r="B548" s="14" t="s">
        <v>370</v>
      </c>
      <c r="C548" s="77" t="s">
        <v>79</v>
      </c>
      <c r="D548" s="91"/>
      <c r="E548" s="91"/>
      <c r="F548" s="627"/>
      <c r="G548" s="91"/>
      <c r="H548" s="289"/>
    </row>
    <row r="549" spans="1:8" x14ac:dyDescent="0.2">
      <c r="A549" s="284" t="s">
        <v>1314</v>
      </c>
      <c r="B549" s="50"/>
      <c r="C549" s="92" t="s">
        <v>80</v>
      </c>
      <c r="D549" s="50" t="s">
        <v>111</v>
      </c>
      <c r="E549" s="87">
        <v>1211.92</v>
      </c>
      <c r="F549" s="627">
        <v>1.1000000000000001</v>
      </c>
      <c r="G549" s="85">
        <f>E549*F549</f>
        <v>1333.1120000000001</v>
      </c>
      <c r="H549" s="289"/>
    </row>
    <row r="550" spans="1:8" x14ac:dyDescent="0.2">
      <c r="A550" s="284"/>
      <c r="B550" s="86"/>
      <c r="C550" s="94" t="s">
        <v>331</v>
      </c>
      <c r="D550" s="95"/>
      <c r="E550" s="95"/>
      <c r="F550" s="626"/>
      <c r="G550" s="96">
        <f>SUM(G549)</f>
        <v>1333.1120000000001</v>
      </c>
      <c r="H550" s="287">
        <f>SUM(G550)</f>
        <v>1333.1120000000001</v>
      </c>
    </row>
    <row r="551" spans="1:8" x14ac:dyDescent="0.2">
      <c r="A551" s="284"/>
      <c r="B551" s="95"/>
      <c r="C551" s="95"/>
      <c r="D551" s="95"/>
      <c r="E551" s="95"/>
      <c r="F551" s="636"/>
      <c r="G551" s="95"/>
      <c r="H551" s="289"/>
    </row>
    <row r="552" spans="1:8" ht="15.75" x14ac:dyDescent="0.25">
      <c r="A552" s="284"/>
      <c r="B552" s="86"/>
      <c r="C552" s="77" t="s">
        <v>53</v>
      </c>
      <c r="D552" s="115"/>
      <c r="E552" s="115"/>
      <c r="F552" s="637"/>
      <c r="G552" s="116"/>
      <c r="H552" s="292">
        <f>SUM(H550+H547+H524+H509+H448+H429+H403+H352+H336+H305+H293+H98+H85+H79+H73+H62+H58+H51+H47+H27+H21)</f>
        <v>700162.14925000002</v>
      </c>
    </row>
    <row r="553" spans="1:8" ht="15.75" x14ac:dyDescent="0.2">
      <c r="A553" s="284"/>
      <c r="B553" s="86"/>
      <c r="C553" s="494" t="s">
        <v>1315</v>
      </c>
      <c r="D553" s="495"/>
      <c r="E553" s="496"/>
      <c r="F553" s="638"/>
      <c r="G553" s="85"/>
      <c r="H553" s="289"/>
    </row>
    <row r="554" spans="1:8" ht="15.75" thickBot="1" x14ac:dyDescent="0.25">
      <c r="A554" s="321"/>
      <c r="B554" s="423"/>
      <c r="C554" s="497" t="s">
        <v>1316</v>
      </c>
      <c r="D554" s="498"/>
      <c r="E554" s="499"/>
      <c r="F554" s="639"/>
      <c r="G554" s="424"/>
      <c r="H554" s="425"/>
    </row>
    <row r="555" spans="1:8" ht="13.5" x14ac:dyDescent="0.25">
      <c r="A555" s="437" t="s">
        <v>1317</v>
      </c>
      <c r="B555" s="438"/>
      <c r="C555" s="439"/>
      <c r="D555" s="440"/>
      <c r="E555" s="441"/>
      <c r="F555" s="441"/>
      <c r="G555" s="442"/>
      <c r="H555" s="443"/>
    </row>
    <row r="556" spans="1:8" ht="13.5" x14ac:dyDescent="0.25">
      <c r="A556" s="293"/>
      <c r="B556" s="117"/>
      <c r="C556" s="426"/>
      <c r="D556" s="428"/>
      <c r="E556" s="429"/>
      <c r="F556" s="430"/>
      <c r="G556" s="428"/>
      <c r="H556" s="444"/>
    </row>
    <row r="557" spans="1:8" ht="13.5" x14ac:dyDescent="0.25">
      <c r="A557" s="293"/>
      <c r="B557" s="117"/>
      <c r="C557" s="426"/>
      <c r="D557" s="431"/>
      <c r="E557" s="117"/>
      <c r="F557" s="432"/>
      <c r="G557" s="431"/>
      <c r="H557" s="294"/>
    </row>
    <row r="558" spans="1:8" ht="13.5" x14ac:dyDescent="0.25">
      <c r="A558" s="293"/>
      <c r="B558" s="117"/>
      <c r="C558" s="426"/>
      <c r="D558" s="431"/>
      <c r="E558" s="117"/>
      <c r="F558" s="432"/>
      <c r="G558" s="431"/>
      <c r="H558" s="294"/>
    </row>
    <row r="559" spans="1:8" ht="13.5" x14ac:dyDescent="0.25">
      <c r="A559" s="293"/>
      <c r="B559" s="117"/>
      <c r="C559" s="426"/>
      <c r="D559" s="431"/>
      <c r="E559" s="117"/>
      <c r="F559" s="432"/>
      <c r="G559" s="431"/>
      <c r="H559" s="294"/>
    </row>
    <row r="560" spans="1:8" ht="13.5" x14ac:dyDescent="0.25">
      <c r="A560" s="293"/>
      <c r="B560" s="117"/>
      <c r="C560" s="426"/>
      <c r="D560" s="431"/>
      <c r="E560" s="117"/>
      <c r="F560" s="432"/>
      <c r="G560" s="431"/>
      <c r="H560" s="294"/>
    </row>
    <row r="561" spans="1:8" ht="13.5" x14ac:dyDescent="0.25">
      <c r="A561" s="293"/>
      <c r="B561" s="117"/>
      <c r="C561" s="426"/>
      <c r="D561" s="431"/>
      <c r="E561" s="117"/>
      <c r="F561" s="432"/>
      <c r="G561" s="431"/>
      <c r="H561" s="294"/>
    </row>
    <row r="562" spans="1:8" ht="13.5" x14ac:dyDescent="0.25">
      <c r="A562" s="295"/>
      <c r="B562" s="118"/>
      <c r="C562" s="427"/>
      <c r="D562" s="433"/>
      <c r="E562" s="118"/>
      <c r="F562" s="434"/>
      <c r="G562" s="433"/>
      <c r="H562" s="296"/>
    </row>
    <row r="563" spans="1:8" ht="13.5" x14ac:dyDescent="0.25">
      <c r="A563" s="295"/>
      <c r="B563" s="118"/>
      <c r="C563" s="427"/>
      <c r="D563" s="433"/>
      <c r="E563" s="118"/>
      <c r="F563" s="434"/>
      <c r="G563" s="433"/>
      <c r="H563" s="296"/>
    </row>
    <row r="564" spans="1:8" ht="13.5" x14ac:dyDescent="0.25">
      <c r="A564" s="295"/>
      <c r="B564" s="118"/>
      <c r="C564" s="427"/>
      <c r="D564" s="433"/>
      <c r="E564" s="118"/>
      <c r="F564" s="434"/>
      <c r="G564" s="433"/>
      <c r="H564" s="296"/>
    </row>
    <row r="565" spans="1:8" ht="13.5" x14ac:dyDescent="0.25">
      <c r="A565" s="295"/>
      <c r="B565" s="118"/>
      <c r="C565" s="427"/>
      <c r="D565" s="433"/>
      <c r="E565" s="118"/>
      <c r="F565" s="434"/>
      <c r="G565" s="433"/>
      <c r="H565" s="296"/>
    </row>
    <row r="566" spans="1:8" x14ac:dyDescent="0.2">
      <c r="A566" s="203"/>
      <c r="B566" s="204"/>
      <c r="C566" s="204"/>
      <c r="D566" s="435"/>
      <c r="E566" s="204"/>
      <c r="F566" s="436"/>
      <c r="G566" s="435"/>
      <c r="H566" s="445"/>
    </row>
    <row r="567" spans="1:8" ht="13.5" thickBot="1" x14ac:dyDescent="0.25">
      <c r="A567" s="205"/>
      <c r="B567" s="206"/>
      <c r="C567" s="206"/>
      <c r="D567" s="446"/>
      <c r="E567" s="206"/>
      <c r="F567" s="447"/>
      <c r="G567" s="446"/>
      <c r="H567" s="448"/>
    </row>
  </sheetData>
  <mergeCells count="19">
    <mergeCell ref="A3:H3"/>
    <mergeCell ref="A4:H4"/>
    <mergeCell ref="A5:H5"/>
    <mergeCell ref="B12:C12"/>
    <mergeCell ref="D12:F12"/>
    <mergeCell ref="G12:H12"/>
    <mergeCell ref="C553:E553"/>
    <mergeCell ref="C554:E554"/>
    <mergeCell ref="A8:H9"/>
    <mergeCell ref="A10:A11"/>
    <mergeCell ref="B10:C11"/>
    <mergeCell ref="D10:F11"/>
    <mergeCell ref="G10:H10"/>
    <mergeCell ref="G11:H11"/>
    <mergeCell ref="A13:A14"/>
    <mergeCell ref="B13:B14"/>
    <mergeCell ref="C13:C14"/>
    <mergeCell ref="D13:D14"/>
    <mergeCell ref="E13:E14"/>
  </mergeCells>
  <conditionalFormatting sqref="F551:F565 E15:E552 E555:E565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zoomScale="115" zoomScaleNormal="115" workbookViewId="0">
      <selection activeCell="B10" sqref="B10:C12"/>
    </sheetView>
  </sheetViews>
  <sheetFormatPr defaultRowHeight="12.75" x14ac:dyDescent="0.2"/>
  <cols>
    <col min="3" max="3" width="22.42578125" customWidth="1"/>
    <col min="4" max="4" width="26.140625" customWidth="1"/>
    <col min="15" max="15" width="11.28515625" bestFit="1" customWidth="1"/>
  </cols>
  <sheetData>
    <row r="1" spans="1:13" ht="16.5" x14ac:dyDescent="0.2">
      <c r="A1" s="640" t="s">
        <v>1389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573"/>
      <c r="M1" s="574"/>
    </row>
    <row r="2" spans="1:13" ht="16.5" x14ac:dyDescent="0.25">
      <c r="A2" s="185" t="s">
        <v>1318</v>
      </c>
      <c r="B2" s="575" t="s">
        <v>1319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7"/>
    </row>
    <row r="3" spans="1:13" ht="16.5" x14ac:dyDescent="0.3">
      <c r="A3" s="186" t="s">
        <v>1320</v>
      </c>
      <c r="B3" s="578" t="s">
        <v>1321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9"/>
    </row>
    <row r="4" spans="1:13" ht="16.5" x14ac:dyDescent="0.3">
      <c r="A4" s="186" t="s">
        <v>1322</v>
      </c>
      <c r="B4" s="120" t="s">
        <v>1323</v>
      </c>
      <c r="C4" s="121"/>
      <c r="D4" s="122"/>
      <c r="E4" s="123"/>
      <c r="F4" s="123"/>
      <c r="G4" s="123"/>
      <c r="H4" s="123"/>
      <c r="I4" s="123"/>
      <c r="J4" s="123"/>
      <c r="K4" s="123"/>
      <c r="L4" s="580"/>
      <c r="M4" s="581"/>
    </row>
    <row r="5" spans="1:13" ht="14.25" x14ac:dyDescent="0.3">
      <c r="A5" s="187"/>
      <c r="B5" s="124"/>
      <c r="C5" s="121"/>
      <c r="D5" s="125"/>
      <c r="E5" s="123"/>
      <c r="F5" s="123"/>
      <c r="G5" s="123"/>
      <c r="H5" s="123"/>
      <c r="I5" s="123"/>
      <c r="J5" s="123"/>
      <c r="K5" s="123"/>
      <c r="L5" s="580"/>
      <c r="M5" s="581"/>
    </row>
    <row r="6" spans="1:13" ht="15.75" x14ac:dyDescent="0.25">
      <c r="A6" s="582" t="s">
        <v>1324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</row>
    <row r="7" spans="1:13" ht="13.5" thickBot="1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558"/>
      <c r="M7" s="559"/>
    </row>
    <row r="8" spans="1:13" ht="13.5" thickBot="1" x14ac:dyDescent="0.25">
      <c r="A8" s="560" t="s">
        <v>162</v>
      </c>
      <c r="B8" s="562" t="s">
        <v>751</v>
      </c>
      <c r="C8" s="563"/>
      <c r="D8" s="566" t="s">
        <v>1325</v>
      </c>
      <c r="E8" s="566" t="s">
        <v>1326</v>
      </c>
      <c r="F8" s="568" t="s">
        <v>1327</v>
      </c>
      <c r="G8" s="569"/>
      <c r="H8" s="569"/>
      <c r="I8" s="569"/>
      <c r="J8" s="569"/>
      <c r="K8" s="569"/>
      <c r="L8" s="569"/>
      <c r="M8" s="570"/>
    </row>
    <row r="9" spans="1:13" ht="13.5" thickBot="1" x14ac:dyDescent="0.25">
      <c r="A9" s="561"/>
      <c r="B9" s="564"/>
      <c r="C9" s="565"/>
      <c r="D9" s="567"/>
      <c r="E9" s="567"/>
      <c r="F9" s="126" t="s">
        <v>1328</v>
      </c>
      <c r="G9" s="126" t="s">
        <v>1329</v>
      </c>
      <c r="H9" s="126" t="s">
        <v>1330</v>
      </c>
      <c r="I9" s="126" t="s">
        <v>1331</v>
      </c>
      <c r="J9" s="126" t="s">
        <v>1332</v>
      </c>
      <c r="K9" s="126" t="s">
        <v>1333</v>
      </c>
      <c r="L9" s="571" t="s">
        <v>1334</v>
      </c>
      <c r="M9" s="572"/>
    </row>
    <row r="10" spans="1:13" x14ac:dyDescent="0.2">
      <c r="A10" s="520" t="s">
        <v>221</v>
      </c>
      <c r="B10" s="552" t="s">
        <v>107</v>
      </c>
      <c r="C10" s="553"/>
      <c r="D10" s="523">
        <f>SUM('Recurso Federal - Creche'!H21)</f>
        <v>106382.86</v>
      </c>
      <c r="E10" s="500">
        <f>SUM(D10/D81)</f>
        <v>0.15194031855900128</v>
      </c>
      <c r="F10" s="127">
        <f>SUM(F12/D10)</f>
        <v>0.8</v>
      </c>
      <c r="G10" s="127">
        <f>SUM(G12/D10)</f>
        <v>0.2</v>
      </c>
      <c r="H10" s="128"/>
      <c r="I10" s="128"/>
      <c r="J10" s="128"/>
      <c r="K10" s="129"/>
      <c r="L10" s="504">
        <f>SUM(F12:K12)</f>
        <v>106382.86</v>
      </c>
      <c r="M10" s="505"/>
    </row>
    <row r="11" spans="1:13" x14ac:dyDescent="0.2">
      <c r="A11" s="530"/>
      <c r="B11" s="503"/>
      <c r="C11" s="503"/>
      <c r="D11" s="557"/>
      <c r="E11" s="501"/>
      <c r="F11" s="130"/>
      <c r="G11" s="130"/>
      <c r="H11" s="128"/>
      <c r="I11" s="128"/>
      <c r="J11" s="128"/>
      <c r="K11" s="128"/>
      <c r="L11" s="506"/>
      <c r="M11" s="507"/>
    </row>
    <row r="12" spans="1:13" x14ac:dyDescent="0.2">
      <c r="A12" s="530"/>
      <c r="B12" s="503"/>
      <c r="C12" s="503"/>
      <c r="D12" s="557"/>
      <c r="E12" s="501"/>
      <c r="F12" s="131">
        <f>SUM(D10*0.8)</f>
        <v>85106.288</v>
      </c>
      <c r="G12" s="132">
        <f>SUM(D10*0.2)</f>
        <v>21276.572</v>
      </c>
      <c r="H12" s="132"/>
      <c r="I12" s="132"/>
      <c r="J12" s="132"/>
      <c r="K12" s="132"/>
      <c r="L12" s="506"/>
      <c r="M12" s="507"/>
    </row>
    <row r="13" spans="1:13" x14ac:dyDescent="0.2">
      <c r="A13" s="530" t="s">
        <v>630</v>
      </c>
      <c r="B13" s="502" t="s">
        <v>36</v>
      </c>
      <c r="C13" s="503"/>
      <c r="D13" s="557">
        <f>SUM('Recurso Federal - Creche'!H27)</f>
        <v>35152.730000000003</v>
      </c>
      <c r="E13" s="500">
        <f>SUM(D13/D81)</f>
        <v>5.0206555778050728E-2</v>
      </c>
      <c r="F13" s="127">
        <f>SUM(F15/D13)</f>
        <v>0.6</v>
      </c>
      <c r="G13" s="127">
        <f>SUM(G15/D13)</f>
        <v>0.4</v>
      </c>
      <c r="H13" s="129"/>
      <c r="I13" s="129"/>
      <c r="J13" s="129"/>
      <c r="K13" s="129"/>
      <c r="L13" s="504">
        <f>SUM(F15:K15)</f>
        <v>35152.730000000003</v>
      </c>
      <c r="M13" s="505"/>
    </row>
    <row r="14" spans="1:13" x14ac:dyDescent="0.2">
      <c r="A14" s="530"/>
      <c r="B14" s="503"/>
      <c r="C14" s="503"/>
      <c r="D14" s="557"/>
      <c r="E14" s="501"/>
      <c r="F14" s="130"/>
      <c r="G14" s="130"/>
      <c r="H14" s="128"/>
      <c r="I14" s="128"/>
      <c r="J14" s="128"/>
      <c r="K14" s="128"/>
      <c r="L14" s="506"/>
      <c r="M14" s="507"/>
    </row>
    <row r="15" spans="1:13" x14ac:dyDescent="0.2">
      <c r="A15" s="530"/>
      <c r="B15" s="503"/>
      <c r="C15" s="503"/>
      <c r="D15" s="557"/>
      <c r="E15" s="501"/>
      <c r="F15" s="131">
        <f>SUM(D13*0.6)</f>
        <v>21091.638000000003</v>
      </c>
      <c r="G15" s="131">
        <f>SUM(D13*0.4)</f>
        <v>14061.092000000002</v>
      </c>
      <c r="H15" s="132"/>
      <c r="I15" s="132"/>
      <c r="J15" s="132"/>
      <c r="K15" s="132"/>
      <c r="L15" s="506"/>
      <c r="M15" s="507"/>
    </row>
    <row r="16" spans="1:13" x14ac:dyDescent="0.2">
      <c r="A16" s="530" t="s">
        <v>832</v>
      </c>
      <c r="B16" s="502" t="s">
        <v>1335</v>
      </c>
      <c r="C16" s="503"/>
      <c r="D16" s="531">
        <f>SUM('Recurso Federal - Creche'!G36)</f>
        <v>17986.82</v>
      </c>
      <c r="E16" s="500">
        <f>SUM(D16/D81)</f>
        <v>2.5689506379725224E-2</v>
      </c>
      <c r="F16" s="129"/>
      <c r="G16" s="127">
        <f>SUM(G18/D16)</f>
        <v>0.4</v>
      </c>
      <c r="H16" s="127">
        <f>SUM(H18/D16)</f>
        <v>0.3</v>
      </c>
      <c r="I16" s="127">
        <f>SUM(I18/D16)</f>
        <v>0.3</v>
      </c>
      <c r="J16" s="129"/>
      <c r="K16" s="129"/>
      <c r="L16" s="504">
        <f>SUM(F18:K18)</f>
        <v>17986.82</v>
      </c>
      <c r="M16" s="505"/>
    </row>
    <row r="17" spans="1:13" x14ac:dyDescent="0.2">
      <c r="A17" s="530"/>
      <c r="B17" s="503"/>
      <c r="C17" s="503"/>
      <c r="D17" s="531"/>
      <c r="E17" s="501"/>
      <c r="F17" s="133"/>
      <c r="G17" s="130"/>
      <c r="H17" s="130"/>
      <c r="I17" s="130"/>
      <c r="J17" s="128"/>
      <c r="K17" s="128"/>
      <c r="L17" s="506"/>
      <c r="M17" s="507"/>
    </row>
    <row r="18" spans="1:13" x14ac:dyDescent="0.2">
      <c r="A18" s="530"/>
      <c r="B18" s="503"/>
      <c r="C18" s="503"/>
      <c r="D18" s="531"/>
      <c r="E18" s="501"/>
      <c r="F18" s="132"/>
      <c r="G18" s="131">
        <f>SUM(D16*0.4)</f>
        <v>7194.7280000000001</v>
      </c>
      <c r="H18" s="131">
        <f>SUM(D16*0.3)</f>
        <v>5396.0459999999994</v>
      </c>
      <c r="I18" s="131">
        <f>SUM(D16*0.3)</f>
        <v>5396.0459999999994</v>
      </c>
      <c r="J18" s="132"/>
      <c r="K18" s="132"/>
      <c r="L18" s="506"/>
      <c r="M18" s="507"/>
    </row>
    <row r="19" spans="1:13" x14ac:dyDescent="0.2">
      <c r="A19" s="530" t="s">
        <v>835</v>
      </c>
      <c r="B19" s="502" t="s">
        <v>1336</v>
      </c>
      <c r="C19" s="503"/>
      <c r="D19" s="557">
        <f>SUM('Recurso Federal - Creche'!G43+'Recurso Federal - Creche'!G47)</f>
        <v>8824.4600000000009</v>
      </c>
      <c r="E19" s="500">
        <f>SUM(D19/D81)</f>
        <v>1.2603451942457315E-2</v>
      </c>
      <c r="F19" s="127">
        <f>SUM(F21/D19)</f>
        <v>0.25</v>
      </c>
      <c r="G19" s="127">
        <f>SUM(G21/D19)</f>
        <v>0.35</v>
      </c>
      <c r="H19" s="127">
        <f>SUM(F19:G19)</f>
        <v>0.6</v>
      </c>
      <c r="I19" s="129"/>
      <c r="J19" s="129"/>
      <c r="K19" s="129"/>
      <c r="L19" s="504">
        <f>SUM(F21:K21)</f>
        <v>8824.4600000000009</v>
      </c>
      <c r="M19" s="505"/>
    </row>
    <row r="20" spans="1:13" x14ac:dyDescent="0.2">
      <c r="A20" s="530"/>
      <c r="B20" s="503"/>
      <c r="C20" s="503"/>
      <c r="D20" s="557"/>
      <c r="E20" s="501"/>
      <c r="F20" s="130"/>
      <c r="G20" s="130"/>
      <c r="H20" s="130"/>
      <c r="I20" s="128"/>
      <c r="J20" s="128"/>
      <c r="K20" s="128"/>
      <c r="L20" s="506"/>
      <c r="M20" s="507"/>
    </row>
    <row r="21" spans="1:13" x14ac:dyDescent="0.2">
      <c r="A21" s="530"/>
      <c r="B21" s="503"/>
      <c r="C21" s="503"/>
      <c r="D21" s="557"/>
      <c r="E21" s="501"/>
      <c r="F21" s="131">
        <f>SUM(D19*0.25)</f>
        <v>2206.1150000000002</v>
      </c>
      <c r="G21" s="131">
        <f>SUM(D19*0.35)</f>
        <v>3088.5610000000001</v>
      </c>
      <c r="H21" s="132">
        <f>SUM(D19*0.4)</f>
        <v>3529.7840000000006</v>
      </c>
      <c r="I21" s="132"/>
      <c r="J21" s="132"/>
      <c r="K21" s="132"/>
      <c r="L21" s="506"/>
      <c r="M21" s="507"/>
    </row>
    <row r="22" spans="1:13" x14ac:dyDescent="0.2">
      <c r="A22" s="530" t="s">
        <v>843</v>
      </c>
      <c r="B22" s="502" t="s">
        <v>43</v>
      </c>
      <c r="C22" s="503"/>
      <c r="D22" s="531">
        <f>SUM('Recurso Federal - Creche'!H51)</f>
        <v>9645.5160000000014</v>
      </c>
      <c r="E22" s="500">
        <f>SUM(D22/D81)</f>
        <v>1.3776117446982945E-2</v>
      </c>
      <c r="F22" s="127">
        <f>SUM(F24/D22)</f>
        <v>0.2</v>
      </c>
      <c r="G22" s="127">
        <f>SUM(G24/D22)</f>
        <v>0.2</v>
      </c>
      <c r="H22" s="127">
        <f>SUM(H24/D22)</f>
        <v>0.25</v>
      </c>
      <c r="I22" s="127">
        <f>SUM(I24/D22)</f>
        <v>0.25</v>
      </c>
      <c r="J22" s="127">
        <f>SUM(J24/D22)</f>
        <v>0.1</v>
      </c>
      <c r="K22" s="129"/>
      <c r="L22" s="504">
        <f>SUM(F24:K24)</f>
        <v>9645.5160000000033</v>
      </c>
      <c r="M22" s="505"/>
    </row>
    <row r="23" spans="1:13" x14ac:dyDescent="0.2">
      <c r="A23" s="530"/>
      <c r="B23" s="503"/>
      <c r="C23" s="503"/>
      <c r="D23" s="531"/>
      <c r="E23" s="501"/>
      <c r="F23" s="130"/>
      <c r="G23" s="130"/>
      <c r="H23" s="130"/>
      <c r="I23" s="130"/>
      <c r="J23" s="130"/>
      <c r="K23" s="128"/>
      <c r="L23" s="506"/>
      <c r="M23" s="507"/>
    </row>
    <row r="24" spans="1:13" x14ac:dyDescent="0.2">
      <c r="A24" s="530"/>
      <c r="B24" s="503"/>
      <c r="C24" s="503"/>
      <c r="D24" s="531"/>
      <c r="E24" s="501"/>
      <c r="F24" s="131">
        <f>SUM(D22*0.2)</f>
        <v>1929.1032000000005</v>
      </c>
      <c r="G24" s="131">
        <f>SUM(D22*0.2)</f>
        <v>1929.1032000000005</v>
      </c>
      <c r="H24" s="131">
        <f>SUM(D22*0.25)</f>
        <v>2411.3790000000004</v>
      </c>
      <c r="I24" s="132">
        <f>SUM(D22*0.25)</f>
        <v>2411.3790000000004</v>
      </c>
      <c r="J24" s="132">
        <f>SUM(D22*0.1)</f>
        <v>964.55160000000024</v>
      </c>
      <c r="K24" s="132"/>
      <c r="L24" s="506"/>
      <c r="M24" s="507"/>
    </row>
    <row r="25" spans="1:13" x14ac:dyDescent="0.2">
      <c r="A25" s="530" t="s">
        <v>636</v>
      </c>
      <c r="B25" s="502" t="s">
        <v>44</v>
      </c>
      <c r="C25" s="503"/>
      <c r="D25" s="531">
        <f>SUM('Recurso Federal - Creche'!H58)</f>
        <v>54726.891199999998</v>
      </c>
      <c r="E25" s="500">
        <f>SUM(D25/D81)</f>
        <v>7.8163167287209651E-2</v>
      </c>
      <c r="F25" s="129"/>
      <c r="G25" s="127">
        <f>SUM(G27/D25)</f>
        <v>0.4</v>
      </c>
      <c r="H25" s="127">
        <f>SUM(H27/D25)</f>
        <v>0.4</v>
      </c>
      <c r="I25" s="127">
        <f>SUM(I27/D25)</f>
        <v>0.2</v>
      </c>
      <c r="J25" s="129"/>
      <c r="K25" s="129"/>
      <c r="L25" s="504">
        <f>SUM(F27:K27)</f>
        <v>54726.891199999998</v>
      </c>
      <c r="M25" s="505"/>
    </row>
    <row r="26" spans="1:13" x14ac:dyDescent="0.2">
      <c r="A26" s="530"/>
      <c r="B26" s="503"/>
      <c r="C26" s="503"/>
      <c r="D26" s="531"/>
      <c r="E26" s="501"/>
      <c r="F26" s="128"/>
      <c r="G26" s="130"/>
      <c r="H26" s="130"/>
      <c r="I26" s="130"/>
      <c r="J26" s="128"/>
      <c r="K26" s="128"/>
      <c r="L26" s="506"/>
      <c r="M26" s="507"/>
    </row>
    <row r="27" spans="1:13" x14ac:dyDescent="0.2">
      <c r="A27" s="530"/>
      <c r="B27" s="503"/>
      <c r="C27" s="503"/>
      <c r="D27" s="531"/>
      <c r="E27" s="501"/>
      <c r="F27" s="132"/>
      <c r="G27" s="131">
        <f>SUM(D25*0.4)</f>
        <v>21890.75648</v>
      </c>
      <c r="H27" s="131">
        <f>SUM(D25*0.4)</f>
        <v>21890.75648</v>
      </c>
      <c r="I27" s="131">
        <f>SUM(D25*0.2)</f>
        <v>10945.37824</v>
      </c>
      <c r="J27" s="132"/>
      <c r="K27" s="132"/>
      <c r="L27" s="506"/>
      <c r="M27" s="507"/>
    </row>
    <row r="28" spans="1:13" x14ac:dyDescent="0.2">
      <c r="A28" s="530" t="s">
        <v>640</v>
      </c>
      <c r="B28" s="502" t="s">
        <v>47</v>
      </c>
      <c r="C28" s="503"/>
      <c r="D28" s="531">
        <f>SUM('Recurso Federal - Creche'!H62)</f>
        <v>3692.7799999999997</v>
      </c>
      <c r="E28" s="500">
        <f>SUM(D28/D81)</f>
        <v>5.2741782799250623E-3</v>
      </c>
      <c r="F28" s="129"/>
      <c r="G28" s="129"/>
      <c r="H28" s="127">
        <f>SUM(H30/D28)</f>
        <v>0.35</v>
      </c>
      <c r="I28" s="127">
        <f>SUM(I30/D28)</f>
        <v>0.45</v>
      </c>
      <c r="J28" s="127">
        <f>SUM(J30/D28)</f>
        <v>0.2</v>
      </c>
      <c r="K28" s="129"/>
      <c r="L28" s="504">
        <f>SUM(F30:K30)</f>
        <v>3692.7799999999997</v>
      </c>
      <c r="M28" s="505"/>
    </row>
    <row r="29" spans="1:13" x14ac:dyDescent="0.2">
      <c r="A29" s="530"/>
      <c r="B29" s="503"/>
      <c r="C29" s="503"/>
      <c r="D29" s="531"/>
      <c r="E29" s="501"/>
      <c r="F29" s="128"/>
      <c r="G29" s="128"/>
      <c r="H29" s="130"/>
      <c r="I29" s="130"/>
      <c r="J29" s="130"/>
      <c r="K29" s="128"/>
      <c r="L29" s="506"/>
      <c r="M29" s="507"/>
    </row>
    <row r="30" spans="1:13" x14ac:dyDescent="0.2">
      <c r="A30" s="530"/>
      <c r="B30" s="503"/>
      <c r="C30" s="503"/>
      <c r="D30" s="531"/>
      <c r="E30" s="501"/>
      <c r="F30" s="132"/>
      <c r="G30" s="132"/>
      <c r="H30" s="131">
        <f>SUM(D28*0.35)</f>
        <v>1292.4729999999997</v>
      </c>
      <c r="I30" s="132">
        <f>SUM(D28*0.45)</f>
        <v>1661.751</v>
      </c>
      <c r="J30" s="132">
        <f>SUM(D28*0.2)</f>
        <v>738.55600000000004</v>
      </c>
      <c r="K30" s="132"/>
      <c r="L30" s="506"/>
      <c r="M30" s="507"/>
    </row>
    <row r="31" spans="1:13" x14ac:dyDescent="0.2">
      <c r="A31" s="530" t="s">
        <v>676</v>
      </c>
      <c r="B31" s="502" t="s">
        <v>492</v>
      </c>
      <c r="C31" s="503"/>
      <c r="D31" s="531">
        <f>SUM('Recurso Federal - Creche'!H73)</f>
        <v>50553.275399999999</v>
      </c>
      <c r="E31" s="500">
        <f>SUM(D31/D81)</f>
        <v>7.2202239801382684E-2</v>
      </c>
      <c r="F31" s="129"/>
      <c r="G31" s="127">
        <f>SUM(G33/D31)</f>
        <v>0.3</v>
      </c>
      <c r="H31" s="127">
        <f>SUM(H33/D31)</f>
        <v>0.45</v>
      </c>
      <c r="I31" s="127">
        <f>SUM(I33/D31)</f>
        <v>0.25</v>
      </c>
      <c r="J31" s="129"/>
      <c r="K31" s="129"/>
      <c r="L31" s="504">
        <f>SUM(F33:K33)</f>
        <v>50553.275399999999</v>
      </c>
      <c r="M31" s="505"/>
    </row>
    <row r="32" spans="1:13" x14ac:dyDescent="0.2">
      <c r="A32" s="530"/>
      <c r="B32" s="503"/>
      <c r="C32" s="503"/>
      <c r="D32" s="531"/>
      <c r="E32" s="501"/>
      <c r="F32" s="128"/>
      <c r="G32" s="130"/>
      <c r="H32" s="130"/>
      <c r="I32" s="130"/>
      <c r="J32" s="128"/>
      <c r="K32" s="128"/>
      <c r="L32" s="506"/>
      <c r="M32" s="507"/>
    </row>
    <row r="33" spans="1:13" x14ac:dyDescent="0.2">
      <c r="A33" s="530"/>
      <c r="B33" s="503"/>
      <c r="C33" s="503"/>
      <c r="D33" s="531"/>
      <c r="E33" s="501"/>
      <c r="F33" s="132"/>
      <c r="G33" s="131">
        <f>SUM(D31*0.3)</f>
        <v>15165.982619999999</v>
      </c>
      <c r="H33" s="131">
        <f>SUM(D31*0.45)</f>
        <v>22748.97393</v>
      </c>
      <c r="I33" s="134">
        <f>SUM(D31*0.25)</f>
        <v>12638.31885</v>
      </c>
      <c r="J33" s="128"/>
      <c r="K33" s="132"/>
      <c r="L33" s="506"/>
      <c r="M33" s="507"/>
    </row>
    <row r="34" spans="1:13" x14ac:dyDescent="0.2">
      <c r="A34" s="530" t="s">
        <v>765</v>
      </c>
      <c r="B34" s="502" t="s">
        <v>57</v>
      </c>
      <c r="C34" s="503"/>
      <c r="D34" s="531">
        <f>SUM('Recurso Federal - Creche'!H79)</f>
        <v>25562.14</v>
      </c>
      <c r="E34" s="500">
        <f>SUM(D34/D81)</f>
        <v>3.650888587362465E-2</v>
      </c>
      <c r="F34" s="129"/>
      <c r="G34" s="129"/>
      <c r="H34" s="136">
        <f>SUM(H36/D34)</f>
        <v>1</v>
      </c>
      <c r="I34" s="127"/>
      <c r="J34" s="137"/>
      <c r="K34" s="138"/>
      <c r="L34" s="504">
        <f>SUM(F36:K36)</f>
        <v>25562.14</v>
      </c>
      <c r="M34" s="505"/>
    </row>
    <row r="35" spans="1:13" x14ac:dyDescent="0.2">
      <c r="A35" s="530"/>
      <c r="B35" s="503"/>
      <c r="C35" s="503"/>
      <c r="D35" s="531"/>
      <c r="E35" s="501"/>
      <c r="F35" s="128"/>
      <c r="G35" s="128"/>
      <c r="H35" s="139"/>
      <c r="I35" s="135"/>
      <c r="J35" s="140"/>
      <c r="K35" s="141"/>
      <c r="L35" s="506"/>
      <c r="M35" s="507"/>
    </row>
    <row r="36" spans="1:13" x14ac:dyDescent="0.2">
      <c r="A36" s="530"/>
      <c r="B36" s="503"/>
      <c r="C36" s="503"/>
      <c r="D36" s="531"/>
      <c r="E36" s="501"/>
      <c r="F36" s="132"/>
      <c r="G36" s="132"/>
      <c r="H36" s="142">
        <f>D34</f>
        <v>25562.14</v>
      </c>
      <c r="I36" s="132"/>
      <c r="J36" s="182"/>
      <c r="K36" s="182"/>
      <c r="L36" s="506"/>
      <c r="M36" s="507"/>
    </row>
    <row r="37" spans="1:13" x14ac:dyDescent="0.2">
      <c r="A37" s="530" t="s">
        <v>678</v>
      </c>
      <c r="B37" s="502" t="s">
        <v>60</v>
      </c>
      <c r="C37" s="503"/>
      <c r="D37" s="531">
        <f>SUM('Recurso Federal - Creche'!H85)</f>
        <v>14521.439999999999</v>
      </c>
      <c r="E37" s="500">
        <f>SUM(D37/D81)</f>
        <v>2.074011000959575E-2</v>
      </c>
      <c r="F37" s="129"/>
      <c r="G37" s="127">
        <f>SUM(G39/D37)</f>
        <v>0.8</v>
      </c>
      <c r="H37" s="127">
        <f>SUM(H39/D37)</f>
        <v>0.2</v>
      </c>
      <c r="I37" s="128"/>
      <c r="J37" s="128"/>
      <c r="K37" s="143"/>
      <c r="L37" s="504">
        <f>SUM(F39:K39)</f>
        <v>14521.44</v>
      </c>
      <c r="M37" s="505"/>
    </row>
    <row r="38" spans="1:13" x14ac:dyDescent="0.2">
      <c r="A38" s="530"/>
      <c r="B38" s="503"/>
      <c r="C38" s="503"/>
      <c r="D38" s="531"/>
      <c r="E38" s="501"/>
      <c r="F38" s="128"/>
      <c r="G38" s="130"/>
      <c r="H38" s="130"/>
      <c r="I38" s="128"/>
      <c r="J38" s="128"/>
      <c r="K38" s="143"/>
      <c r="L38" s="506"/>
      <c r="M38" s="507"/>
    </row>
    <row r="39" spans="1:13" x14ac:dyDescent="0.2">
      <c r="A39" s="530"/>
      <c r="B39" s="503"/>
      <c r="C39" s="503"/>
      <c r="D39" s="531"/>
      <c r="E39" s="501"/>
      <c r="F39" s="132"/>
      <c r="G39" s="132">
        <f>SUM(D37*0.8)</f>
        <v>11617.152</v>
      </c>
      <c r="H39" s="131">
        <f>SUM(D37*0.2)</f>
        <v>2904.288</v>
      </c>
      <c r="I39" s="132"/>
      <c r="J39" s="132"/>
      <c r="K39" s="143"/>
      <c r="L39" s="506"/>
      <c r="M39" s="507"/>
    </row>
    <row r="40" spans="1:13" x14ac:dyDescent="0.2">
      <c r="A40" s="530" t="s">
        <v>681</v>
      </c>
      <c r="B40" s="502" t="s">
        <v>64</v>
      </c>
      <c r="C40" s="503"/>
      <c r="D40" s="531">
        <f>SUM('Recurso Federal - Creche'!H98)</f>
        <v>19796.075150000004</v>
      </c>
      <c r="E40" s="500">
        <f>SUM(D40/D81)</f>
        <v>2.827355801967469E-2</v>
      </c>
      <c r="F40" s="129"/>
      <c r="G40" s="127">
        <f>SUM(G42/D40)</f>
        <v>0.4</v>
      </c>
      <c r="H40" s="127">
        <f>SUM(H42/D40)</f>
        <v>0.5</v>
      </c>
      <c r="I40" s="127">
        <f>SUM(I42/D40)</f>
        <v>0.1</v>
      </c>
      <c r="J40" s="129"/>
      <c r="K40" s="129"/>
      <c r="L40" s="504">
        <f>SUM(F42:K42)</f>
        <v>19796.075150000004</v>
      </c>
      <c r="M40" s="505"/>
    </row>
    <row r="41" spans="1:13" x14ac:dyDescent="0.2">
      <c r="A41" s="530"/>
      <c r="B41" s="503"/>
      <c r="C41" s="503"/>
      <c r="D41" s="531"/>
      <c r="E41" s="501"/>
      <c r="F41" s="128"/>
      <c r="G41" s="130"/>
      <c r="H41" s="130"/>
      <c r="I41" s="130"/>
      <c r="J41" s="128"/>
      <c r="K41" s="128"/>
      <c r="L41" s="506"/>
      <c r="M41" s="507"/>
    </row>
    <row r="42" spans="1:13" x14ac:dyDescent="0.2">
      <c r="A42" s="530"/>
      <c r="B42" s="503"/>
      <c r="C42" s="503"/>
      <c r="D42" s="531"/>
      <c r="E42" s="501"/>
      <c r="F42" s="132"/>
      <c r="G42" s="131">
        <f>SUM(D40*0.4)</f>
        <v>7918.4300600000024</v>
      </c>
      <c r="H42" s="131">
        <f>SUM(D40*0.5)</f>
        <v>9898.0375750000021</v>
      </c>
      <c r="I42" s="132">
        <f>SUM(D40*0.1)</f>
        <v>1979.6075150000006</v>
      </c>
      <c r="J42" s="132"/>
      <c r="K42" s="132"/>
      <c r="L42" s="506"/>
      <c r="M42" s="507"/>
    </row>
    <row r="43" spans="1:13" x14ac:dyDescent="0.2">
      <c r="A43" s="530" t="s">
        <v>683</v>
      </c>
      <c r="B43" s="502" t="s">
        <v>350</v>
      </c>
      <c r="C43" s="503"/>
      <c r="D43" s="531">
        <f>SUM('Recurso Federal - Creche'!H293)</f>
        <v>149757.09000000003</v>
      </c>
      <c r="E43" s="500">
        <f>SUM(D43/D81)</f>
        <v>0.21388915433434511</v>
      </c>
      <c r="F43" s="129"/>
      <c r="G43" s="129"/>
      <c r="H43" s="129"/>
      <c r="I43" s="127">
        <f>SUM(I45/D43)</f>
        <v>0.3</v>
      </c>
      <c r="J43" s="127">
        <f>SUM(J45/D43)</f>
        <v>0.45</v>
      </c>
      <c r="K43" s="127">
        <f>SUM(K45/D43)</f>
        <v>0.25</v>
      </c>
      <c r="L43" s="504">
        <f>SUM(F45:K45)</f>
        <v>149757.09000000003</v>
      </c>
      <c r="M43" s="505"/>
    </row>
    <row r="44" spans="1:13" x14ac:dyDescent="0.2">
      <c r="A44" s="530"/>
      <c r="B44" s="503"/>
      <c r="C44" s="503"/>
      <c r="D44" s="531"/>
      <c r="E44" s="501"/>
      <c r="F44" s="128"/>
      <c r="G44" s="128"/>
      <c r="H44" s="128"/>
      <c r="I44" s="130"/>
      <c r="J44" s="130"/>
      <c r="K44" s="130"/>
      <c r="L44" s="506"/>
      <c r="M44" s="507"/>
    </row>
    <row r="45" spans="1:13" ht="13.5" thickBot="1" x14ac:dyDescent="0.25">
      <c r="A45" s="534"/>
      <c r="B45" s="535"/>
      <c r="C45" s="535"/>
      <c r="D45" s="536"/>
      <c r="E45" s="556"/>
      <c r="F45" s="190"/>
      <c r="G45" s="190"/>
      <c r="H45" s="190"/>
      <c r="I45" s="191">
        <f>SUM(D43*0.3)</f>
        <v>44927.127000000008</v>
      </c>
      <c r="J45" s="191">
        <f>SUM(D43*0.45)</f>
        <v>67390.690500000012</v>
      </c>
      <c r="K45" s="191">
        <f>SUM(D43*0.25)</f>
        <v>37439.272500000006</v>
      </c>
      <c r="L45" s="538"/>
      <c r="M45" s="539"/>
    </row>
    <row r="46" spans="1:13" x14ac:dyDescent="0.2">
      <c r="A46" s="540" t="s">
        <v>685</v>
      </c>
      <c r="B46" s="541" t="s">
        <v>530</v>
      </c>
      <c r="C46" s="542"/>
      <c r="D46" s="543">
        <f>SUM('Recurso Federal - Creche'!G300)</f>
        <v>67.83</v>
      </c>
      <c r="E46" s="555">
        <f>SUM(D46/D81)</f>
        <v>9.6877559109212298E-5</v>
      </c>
      <c r="F46" s="192"/>
      <c r="G46" s="193">
        <f>SUM(G48/D46)</f>
        <v>0.15</v>
      </c>
      <c r="H46" s="193">
        <f>SUM(H48/D46)</f>
        <v>0.25</v>
      </c>
      <c r="I46" s="193">
        <f>SUM(I48/D46)</f>
        <v>0.6</v>
      </c>
      <c r="J46" s="192"/>
      <c r="K46" s="192"/>
      <c r="L46" s="545">
        <f>SUM(F48:K48)</f>
        <v>67.83</v>
      </c>
      <c r="M46" s="546"/>
    </row>
    <row r="47" spans="1:13" x14ac:dyDescent="0.2">
      <c r="A47" s="530"/>
      <c r="B47" s="503"/>
      <c r="C47" s="503"/>
      <c r="D47" s="531"/>
      <c r="E47" s="501"/>
      <c r="F47" s="128"/>
      <c r="G47" s="130"/>
      <c r="H47" s="130"/>
      <c r="I47" s="130"/>
      <c r="J47" s="128"/>
      <c r="K47" s="128"/>
      <c r="L47" s="506"/>
      <c r="M47" s="507"/>
    </row>
    <row r="48" spans="1:13" x14ac:dyDescent="0.2">
      <c r="A48" s="530"/>
      <c r="B48" s="503"/>
      <c r="C48" s="503"/>
      <c r="D48" s="531"/>
      <c r="E48" s="501"/>
      <c r="F48" s="132"/>
      <c r="G48" s="131">
        <f>SUM(D46*0.15)</f>
        <v>10.1745</v>
      </c>
      <c r="H48" s="131">
        <f>SUM(D46*0.25)</f>
        <v>16.9575</v>
      </c>
      <c r="I48" s="132">
        <f>SUM(D46*0.6)</f>
        <v>40.698</v>
      </c>
      <c r="J48" s="132"/>
      <c r="K48" s="132"/>
      <c r="L48" s="506"/>
      <c r="M48" s="507"/>
    </row>
    <row r="49" spans="1:13" x14ac:dyDescent="0.2">
      <c r="A49" s="530" t="s">
        <v>688</v>
      </c>
      <c r="B49" s="502" t="s">
        <v>258</v>
      </c>
      <c r="C49" s="503"/>
      <c r="D49" s="531">
        <f>SUM('Recurso Federal - Creche'!G305)</f>
        <v>2022.1299999999999</v>
      </c>
      <c r="E49" s="500">
        <f>SUM(D49/D81)</f>
        <v>2.8880881409628699E-3</v>
      </c>
      <c r="F49" s="127">
        <f>SUM(F51/D49)</f>
        <v>0.1</v>
      </c>
      <c r="G49" s="127">
        <f>SUM(G51/D49)</f>
        <v>0.1</v>
      </c>
      <c r="H49" s="127">
        <f>SUM(H51/D49)</f>
        <v>0.15</v>
      </c>
      <c r="I49" s="127">
        <f>SUM(I51/D49)</f>
        <v>0.15</v>
      </c>
      <c r="J49" s="127">
        <f>SUM(J51/D49)</f>
        <v>0.25</v>
      </c>
      <c r="K49" s="127">
        <f>SUM(K51/D49)</f>
        <v>0.25</v>
      </c>
      <c r="L49" s="504">
        <f>SUM(F51:K51)</f>
        <v>2022.1299999999999</v>
      </c>
      <c r="M49" s="505"/>
    </row>
    <row r="50" spans="1:13" x14ac:dyDescent="0.2">
      <c r="A50" s="530"/>
      <c r="B50" s="503"/>
      <c r="C50" s="503"/>
      <c r="D50" s="531"/>
      <c r="E50" s="501"/>
      <c r="F50" s="130"/>
      <c r="G50" s="130"/>
      <c r="H50" s="130"/>
      <c r="I50" s="130"/>
      <c r="J50" s="130"/>
      <c r="K50" s="130"/>
      <c r="L50" s="506"/>
      <c r="M50" s="507"/>
    </row>
    <row r="51" spans="1:13" x14ac:dyDescent="0.2">
      <c r="A51" s="530"/>
      <c r="B51" s="503"/>
      <c r="C51" s="503"/>
      <c r="D51" s="531"/>
      <c r="E51" s="501"/>
      <c r="F51" s="131">
        <f>SUM(D49*0.1)</f>
        <v>202.21299999999999</v>
      </c>
      <c r="G51" s="131">
        <f>SUM(F51)</f>
        <v>202.21299999999999</v>
      </c>
      <c r="H51" s="131">
        <f>SUM(D49*0.15)</f>
        <v>303.31949999999995</v>
      </c>
      <c r="I51" s="131">
        <f>SUM(D49*0.15)</f>
        <v>303.31949999999995</v>
      </c>
      <c r="J51" s="132">
        <f>SUM(D49*0.25)</f>
        <v>505.53249999999997</v>
      </c>
      <c r="K51" s="132">
        <f>SUM(D49*0.25)</f>
        <v>505.53249999999997</v>
      </c>
      <c r="L51" s="506"/>
      <c r="M51" s="507"/>
    </row>
    <row r="52" spans="1:13" x14ac:dyDescent="0.2">
      <c r="A52" s="530" t="s">
        <v>690</v>
      </c>
      <c r="B52" s="502" t="s">
        <v>1094</v>
      </c>
      <c r="C52" s="503"/>
      <c r="D52" s="531">
        <f>SUM('Recurso Federal - Creche'!H336)</f>
        <v>19265.009999999995</v>
      </c>
      <c r="E52" s="500">
        <f>SUM(D52/D81)</f>
        <v>2.7515069217375284E-2</v>
      </c>
      <c r="F52" s="127">
        <f>SUM(F54/D52)</f>
        <v>0.1</v>
      </c>
      <c r="G52" s="127">
        <f>SUM(G54/D52)</f>
        <v>0.15</v>
      </c>
      <c r="H52" s="127">
        <f>SUM(H54/D52)</f>
        <v>0.2</v>
      </c>
      <c r="I52" s="127">
        <f>SUM(I54/D52)</f>
        <v>0.25</v>
      </c>
      <c r="J52" s="127">
        <f>SUM(J54/D52)</f>
        <v>0.25</v>
      </c>
      <c r="K52" s="127">
        <f>SUM(K54/D52)</f>
        <v>0.05</v>
      </c>
      <c r="L52" s="504">
        <f>SUM(F54:K54)</f>
        <v>19265.009999999991</v>
      </c>
      <c r="M52" s="505"/>
    </row>
    <row r="53" spans="1:13" x14ac:dyDescent="0.2">
      <c r="A53" s="530"/>
      <c r="B53" s="503"/>
      <c r="C53" s="503"/>
      <c r="D53" s="531"/>
      <c r="E53" s="501"/>
      <c r="F53" s="130"/>
      <c r="G53" s="130"/>
      <c r="H53" s="130"/>
      <c r="I53" s="130"/>
      <c r="J53" s="130"/>
      <c r="K53" s="130"/>
      <c r="L53" s="506"/>
      <c r="M53" s="507"/>
    </row>
    <row r="54" spans="1:13" x14ac:dyDescent="0.2">
      <c r="A54" s="530"/>
      <c r="B54" s="503"/>
      <c r="C54" s="503"/>
      <c r="D54" s="531"/>
      <c r="E54" s="501"/>
      <c r="F54" s="132">
        <f>SUM(D52*0.1)</f>
        <v>1926.5009999999995</v>
      </c>
      <c r="G54" s="131">
        <f>SUM(D52*0.15)</f>
        <v>2889.7514999999989</v>
      </c>
      <c r="H54" s="131">
        <f>SUM(D52*0.2)</f>
        <v>3853.001999999999</v>
      </c>
      <c r="I54" s="131">
        <f>SUM(D52*0.25)</f>
        <v>4816.2524999999987</v>
      </c>
      <c r="J54" s="131">
        <f>SUM(D52*0.25)</f>
        <v>4816.2524999999987</v>
      </c>
      <c r="K54" s="131">
        <f>SUM(D52*0.05)</f>
        <v>963.25049999999976</v>
      </c>
      <c r="L54" s="506"/>
      <c r="M54" s="507"/>
    </row>
    <row r="55" spans="1:13" x14ac:dyDescent="0.2">
      <c r="A55" s="530" t="s">
        <v>692</v>
      </c>
      <c r="B55" s="502" t="s">
        <v>357</v>
      </c>
      <c r="C55" s="503"/>
      <c r="D55" s="531">
        <f>SUM('Recurso Federal - Creche'!H352)</f>
        <v>13114.140000000001</v>
      </c>
      <c r="E55" s="500">
        <f>SUM(D55/D81)</f>
        <v>1.8730147029581094E-2</v>
      </c>
      <c r="F55" s="129"/>
      <c r="G55" s="129"/>
      <c r="H55" s="127">
        <f>SUM(H57/D55)</f>
        <v>0.5</v>
      </c>
      <c r="I55" s="127">
        <f>SUM(I57/D55)</f>
        <v>0.5</v>
      </c>
      <c r="J55" s="129"/>
      <c r="K55" s="129"/>
      <c r="L55" s="504">
        <f>SUM(F57:K57)</f>
        <v>13114.140000000001</v>
      </c>
      <c r="M55" s="505"/>
    </row>
    <row r="56" spans="1:13" x14ac:dyDescent="0.2">
      <c r="A56" s="530"/>
      <c r="B56" s="503"/>
      <c r="C56" s="503"/>
      <c r="D56" s="531"/>
      <c r="E56" s="501"/>
      <c r="F56" s="128"/>
      <c r="G56" s="128"/>
      <c r="H56" s="130"/>
      <c r="I56" s="130"/>
      <c r="J56" s="128"/>
      <c r="K56" s="128"/>
      <c r="L56" s="506"/>
      <c r="M56" s="507"/>
    </row>
    <row r="57" spans="1:13" x14ac:dyDescent="0.2">
      <c r="A57" s="530"/>
      <c r="B57" s="503"/>
      <c r="C57" s="503"/>
      <c r="D57" s="531"/>
      <c r="E57" s="501"/>
      <c r="F57" s="132"/>
      <c r="G57" s="132"/>
      <c r="H57" s="131">
        <f>D55/2</f>
        <v>6557.0700000000006</v>
      </c>
      <c r="I57" s="131">
        <f>D55/2</f>
        <v>6557.0700000000006</v>
      </c>
      <c r="J57" s="132"/>
      <c r="K57" s="132"/>
      <c r="L57" s="506"/>
      <c r="M57" s="507"/>
    </row>
    <row r="58" spans="1:13" x14ac:dyDescent="0.2">
      <c r="A58" s="530" t="s">
        <v>694</v>
      </c>
      <c r="B58" s="502" t="s">
        <v>664</v>
      </c>
      <c r="C58" s="503"/>
      <c r="D58" s="531">
        <f>SUM('Recurso Federal - Creche'!H403)</f>
        <v>48241.850000000013</v>
      </c>
      <c r="E58" s="500">
        <f>SUM(D58/D81)</f>
        <v>6.8900968228110787E-2</v>
      </c>
      <c r="F58" s="129"/>
      <c r="G58" s="129"/>
      <c r="H58" s="129"/>
      <c r="I58" s="127">
        <f>SUM(I60/D58)</f>
        <v>1</v>
      </c>
      <c r="J58" s="129"/>
      <c r="K58" s="143"/>
      <c r="L58" s="504">
        <f>SUM(F60:K60)</f>
        <v>48241.850000000013</v>
      </c>
      <c r="M58" s="505"/>
    </row>
    <row r="59" spans="1:13" x14ac:dyDescent="0.2">
      <c r="A59" s="530"/>
      <c r="B59" s="503"/>
      <c r="C59" s="503"/>
      <c r="D59" s="531"/>
      <c r="E59" s="501"/>
      <c r="F59" s="128"/>
      <c r="G59" s="128"/>
      <c r="H59" s="128"/>
      <c r="I59" s="130"/>
      <c r="J59" s="128"/>
      <c r="K59" s="143"/>
      <c r="L59" s="506"/>
      <c r="M59" s="507"/>
    </row>
    <row r="60" spans="1:13" x14ac:dyDescent="0.2">
      <c r="A60" s="530"/>
      <c r="B60" s="503"/>
      <c r="C60" s="503"/>
      <c r="D60" s="531"/>
      <c r="E60" s="501"/>
      <c r="F60" s="132"/>
      <c r="G60" s="132"/>
      <c r="H60" s="132"/>
      <c r="I60" s="131">
        <f>D58</f>
        <v>48241.850000000013</v>
      </c>
      <c r="J60" s="132"/>
      <c r="K60" s="143"/>
      <c r="L60" s="506"/>
      <c r="M60" s="507"/>
    </row>
    <row r="61" spans="1:13" x14ac:dyDescent="0.2">
      <c r="A61" s="530" t="s">
        <v>696</v>
      </c>
      <c r="B61" s="502" t="s">
        <v>278</v>
      </c>
      <c r="C61" s="503"/>
      <c r="D61" s="531">
        <f>SUM('Recurso Federal - Creche'!H429)</f>
        <v>6536.5099999999993</v>
      </c>
      <c r="E61" s="500">
        <f>SUM(D61/D81)</f>
        <v>9.3357088882936347E-3</v>
      </c>
      <c r="F61" s="129"/>
      <c r="G61" s="129"/>
      <c r="H61" s="127">
        <f>SUM(H63/D61)</f>
        <v>0.5</v>
      </c>
      <c r="I61" s="127">
        <f>SUM(I63/D61)</f>
        <v>0.5</v>
      </c>
      <c r="J61" s="129"/>
      <c r="K61" s="129"/>
      <c r="L61" s="504">
        <f>SUM(F63:K63)</f>
        <v>6536.5099999999993</v>
      </c>
      <c r="M61" s="505"/>
    </row>
    <row r="62" spans="1:13" x14ac:dyDescent="0.2">
      <c r="A62" s="530"/>
      <c r="B62" s="503"/>
      <c r="C62" s="503"/>
      <c r="D62" s="531"/>
      <c r="E62" s="501"/>
      <c r="F62" s="128"/>
      <c r="G62" s="128"/>
      <c r="H62" s="130"/>
      <c r="I62" s="130"/>
      <c r="J62" s="128"/>
      <c r="K62" s="128"/>
      <c r="L62" s="506"/>
      <c r="M62" s="507"/>
    </row>
    <row r="63" spans="1:13" x14ac:dyDescent="0.2">
      <c r="A63" s="530"/>
      <c r="B63" s="503"/>
      <c r="C63" s="503"/>
      <c r="D63" s="531"/>
      <c r="E63" s="501"/>
      <c r="F63" s="132"/>
      <c r="G63" s="132"/>
      <c r="H63" s="131">
        <f>D61/2</f>
        <v>3268.2549999999997</v>
      </c>
      <c r="I63" s="131">
        <f>D61/2</f>
        <v>3268.2549999999997</v>
      </c>
      <c r="J63" s="132"/>
      <c r="K63" s="132"/>
      <c r="L63" s="506"/>
      <c r="M63" s="507"/>
    </row>
    <row r="64" spans="1:13" x14ac:dyDescent="0.2">
      <c r="A64" s="530" t="s">
        <v>701</v>
      </c>
      <c r="B64" s="502" t="s">
        <v>347</v>
      </c>
      <c r="C64" s="503"/>
      <c r="D64" s="531">
        <f>SUM('Recurso Federal - Creche'!H448)</f>
        <v>3048.1000000000004</v>
      </c>
      <c r="E64" s="500">
        <f>SUM(D64/D81)</f>
        <v>4.3534201374139771E-3</v>
      </c>
      <c r="F64" s="129"/>
      <c r="G64" s="129"/>
      <c r="H64" s="127">
        <f>SUM(H66/D64)</f>
        <v>0.3</v>
      </c>
      <c r="I64" s="127">
        <f>SUM(I66/D64)</f>
        <v>0.3</v>
      </c>
      <c r="J64" s="127">
        <f>SUM(J66/D64)</f>
        <v>0.25</v>
      </c>
      <c r="K64" s="127">
        <f>SUM(K66/D64)</f>
        <v>0.15</v>
      </c>
      <c r="L64" s="504">
        <f>SUM(F66:K66)</f>
        <v>3048.1000000000004</v>
      </c>
      <c r="M64" s="505"/>
    </row>
    <row r="65" spans="1:13" x14ac:dyDescent="0.2">
      <c r="A65" s="530"/>
      <c r="B65" s="503"/>
      <c r="C65" s="503"/>
      <c r="D65" s="531"/>
      <c r="E65" s="501"/>
      <c r="F65" s="128"/>
      <c r="G65" s="128"/>
      <c r="H65" s="130"/>
      <c r="I65" s="130"/>
      <c r="J65" s="130"/>
      <c r="K65" s="130"/>
      <c r="L65" s="506"/>
      <c r="M65" s="507"/>
    </row>
    <row r="66" spans="1:13" x14ac:dyDescent="0.2">
      <c r="A66" s="530"/>
      <c r="B66" s="503"/>
      <c r="C66" s="503"/>
      <c r="D66" s="531"/>
      <c r="E66" s="501"/>
      <c r="F66" s="132"/>
      <c r="G66" s="132"/>
      <c r="H66" s="131">
        <f>SUM(D64*0.3)</f>
        <v>914.43000000000006</v>
      </c>
      <c r="I66" s="131">
        <f>SUM(D64*0.3)</f>
        <v>914.43000000000006</v>
      </c>
      <c r="J66" s="131">
        <f>SUM(D64*0.25)</f>
        <v>762.02500000000009</v>
      </c>
      <c r="K66" s="131">
        <f>SUM(D64*0.15)</f>
        <v>457.21500000000003</v>
      </c>
      <c r="L66" s="506"/>
      <c r="M66" s="507"/>
    </row>
    <row r="67" spans="1:13" x14ac:dyDescent="0.2">
      <c r="A67" s="530" t="s">
        <v>709</v>
      </c>
      <c r="B67" s="502" t="s">
        <v>120</v>
      </c>
      <c r="C67" s="503"/>
      <c r="D67" s="531">
        <f>SUM('Recurso Federal - Creche'!H509)</f>
        <v>9843.84</v>
      </c>
      <c r="E67" s="500">
        <f>SUM(D67/D81)</f>
        <v>1.4059371833431054E-2</v>
      </c>
      <c r="F67" s="129"/>
      <c r="G67" s="129"/>
      <c r="H67" s="127">
        <f>SUM(H69/D67)</f>
        <v>0.3</v>
      </c>
      <c r="I67" s="127">
        <f>SUM(I69/D67)</f>
        <v>0.3</v>
      </c>
      <c r="J67" s="127">
        <f>SUM(J69/D67)</f>
        <v>0.2</v>
      </c>
      <c r="K67" s="127">
        <f>SUM(K69/D67)</f>
        <v>0.2</v>
      </c>
      <c r="L67" s="504">
        <f>SUM(F69:K69)</f>
        <v>9843.84</v>
      </c>
      <c r="M67" s="505"/>
    </row>
    <row r="68" spans="1:13" x14ac:dyDescent="0.2">
      <c r="A68" s="530"/>
      <c r="B68" s="503"/>
      <c r="C68" s="503"/>
      <c r="D68" s="531"/>
      <c r="E68" s="501"/>
      <c r="F68" s="128"/>
      <c r="G68" s="128"/>
      <c r="H68" s="130"/>
      <c r="I68" s="130"/>
      <c r="J68" s="130"/>
      <c r="K68" s="130"/>
      <c r="L68" s="506"/>
      <c r="M68" s="507"/>
    </row>
    <row r="69" spans="1:13" x14ac:dyDescent="0.2">
      <c r="A69" s="530"/>
      <c r="B69" s="503"/>
      <c r="C69" s="503"/>
      <c r="D69" s="531"/>
      <c r="E69" s="501"/>
      <c r="F69" s="132"/>
      <c r="G69" s="132"/>
      <c r="H69" s="131">
        <f>SUM(D67*0.3)</f>
        <v>2953.152</v>
      </c>
      <c r="I69" s="131">
        <f>SUM(D67*0.3)</f>
        <v>2953.152</v>
      </c>
      <c r="J69" s="131">
        <f>SUM(D67*0.2)</f>
        <v>1968.768</v>
      </c>
      <c r="K69" s="131">
        <f>SUM(D67*0.2)</f>
        <v>1968.768</v>
      </c>
      <c r="L69" s="506"/>
      <c r="M69" s="507"/>
    </row>
    <row r="70" spans="1:13" x14ac:dyDescent="0.2">
      <c r="A70" s="530" t="s">
        <v>1276</v>
      </c>
      <c r="B70" s="502" t="s">
        <v>304</v>
      </c>
      <c r="C70" s="503"/>
      <c r="D70" s="531">
        <f>SUM('Recurso Federal - Creche'!H524)</f>
        <v>4331.92</v>
      </c>
      <c r="E70" s="501">
        <f>SUM(D70/D81)</f>
        <v>6.1870239695765734E-3</v>
      </c>
      <c r="F70" s="129"/>
      <c r="G70" s="144"/>
      <c r="H70" s="127">
        <f>SUM(H72/D70)</f>
        <v>0.35</v>
      </c>
      <c r="I70" s="137">
        <f>SUM(I72/D70)</f>
        <v>0.35</v>
      </c>
      <c r="J70" s="127">
        <f>SUM(J72/D70)</f>
        <v>0.3</v>
      </c>
      <c r="K70" s="129"/>
      <c r="L70" s="506">
        <f>SUM(F72:K72)</f>
        <v>4331.92</v>
      </c>
      <c r="M70" s="507"/>
    </row>
    <row r="71" spans="1:13" x14ac:dyDescent="0.2">
      <c r="A71" s="530"/>
      <c r="B71" s="503"/>
      <c r="C71" s="503"/>
      <c r="D71" s="531"/>
      <c r="E71" s="501"/>
      <c r="F71" s="128"/>
      <c r="G71" s="143"/>
      <c r="H71" s="130"/>
      <c r="I71" s="145"/>
      <c r="J71" s="130"/>
      <c r="K71" s="128"/>
      <c r="L71" s="506"/>
      <c r="M71" s="507"/>
    </row>
    <row r="72" spans="1:13" x14ac:dyDescent="0.2">
      <c r="A72" s="530"/>
      <c r="B72" s="503"/>
      <c r="C72" s="503"/>
      <c r="D72" s="531"/>
      <c r="E72" s="501"/>
      <c r="F72" s="132"/>
      <c r="G72" s="183"/>
      <c r="H72" s="131">
        <f>SUM(D70*0.35)</f>
        <v>1516.172</v>
      </c>
      <c r="I72" s="146">
        <f>SUM(D70*0.35)</f>
        <v>1516.172</v>
      </c>
      <c r="J72" s="132">
        <f>SUM(D70*0.3)</f>
        <v>1299.576</v>
      </c>
      <c r="K72" s="132"/>
      <c r="L72" s="506"/>
      <c r="M72" s="507"/>
    </row>
    <row r="73" spans="1:13" x14ac:dyDescent="0.2">
      <c r="A73" s="530" t="s">
        <v>1290</v>
      </c>
      <c r="B73" s="502" t="s">
        <v>1291</v>
      </c>
      <c r="C73" s="503"/>
      <c r="D73" s="531">
        <f>SUM('Recurso Federal - Creche'!H547)</f>
        <v>95755.629499999981</v>
      </c>
      <c r="E73" s="500">
        <f>SUM(D73/D81)</f>
        <v>0.13676207661692585</v>
      </c>
      <c r="F73" s="129"/>
      <c r="G73" s="129"/>
      <c r="H73" s="129"/>
      <c r="I73" s="127">
        <f>SUM(I75/D73)</f>
        <v>0.45</v>
      </c>
      <c r="J73" s="127">
        <f>SUM(J75/D73)</f>
        <v>0.39999999999999997</v>
      </c>
      <c r="K73" s="127">
        <f>SUM(K75/D73)</f>
        <v>0.15</v>
      </c>
      <c r="L73" s="504">
        <f>SUM(F75:K75)</f>
        <v>95755.629499999995</v>
      </c>
      <c r="M73" s="505"/>
    </row>
    <row r="74" spans="1:13" x14ac:dyDescent="0.2">
      <c r="A74" s="530"/>
      <c r="B74" s="503"/>
      <c r="C74" s="503"/>
      <c r="D74" s="531"/>
      <c r="E74" s="501"/>
      <c r="F74" s="128"/>
      <c r="G74" s="128"/>
      <c r="H74" s="128"/>
      <c r="I74" s="130"/>
      <c r="J74" s="130"/>
      <c r="K74" s="130"/>
      <c r="L74" s="506"/>
      <c r="M74" s="507"/>
    </row>
    <row r="75" spans="1:13" x14ac:dyDescent="0.2">
      <c r="A75" s="530"/>
      <c r="B75" s="503"/>
      <c r="C75" s="503"/>
      <c r="D75" s="531"/>
      <c r="E75" s="501"/>
      <c r="F75" s="132"/>
      <c r="G75" s="132"/>
      <c r="H75" s="132"/>
      <c r="I75" s="131">
        <f>SUM(D73*0.45)</f>
        <v>43090.033274999994</v>
      </c>
      <c r="J75" s="131">
        <f>SUM(D73*0.4)</f>
        <v>38302.251799999991</v>
      </c>
      <c r="K75" s="131">
        <f>SUM(D73*0.15)</f>
        <v>14363.344424999997</v>
      </c>
      <c r="L75" s="506"/>
      <c r="M75" s="507"/>
    </row>
    <row r="76" spans="1:13" x14ac:dyDescent="0.2">
      <c r="A76" s="530" t="s">
        <v>1313</v>
      </c>
      <c r="B76" s="502" t="s">
        <v>79</v>
      </c>
      <c r="C76" s="503"/>
      <c r="D76" s="531">
        <f>SUM('Recurso Federal - Creche'!H550)</f>
        <v>1333.1120000000001</v>
      </c>
      <c r="E76" s="500">
        <f>SUM(D76/D81)</f>
        <v>1.9040046672445855E-3</v>
      </c>
      <c r="F76" s="129"/>
      <c r="G76" s="129"/>
      <c r="H76" s="127">
        <f>SUM(H78/D76)</f>
        <v>0.35</v>
      </c>
      <c r="I76" s="127">
        <f>SUM(I78/D76)</f>
        <v>0.35</v>
      </c>
      <c r="J76" s="127">
        <f>SUM(J78/D76)</f>
        <v>0.3</v>
      </c>
      <c r="K76" s="129"/>
      <c r="L76" s="504">
        <f>SUM(F78:K78)</f>
        <v>1333.1120000000001</v>
      </c>
      <c r="M76" s="505"/>
    </row>
    <row r="77" spans="1:13" x14ac:dyDescent="0.2">
      <c r="A77" s="530"/>
      <c r="B77" s="503"/>
      <c r="C77" s="503"/>
      <c r="D77" s="531"/>
      <c r="E77" s="501"/>
      <c r="F77" s="128"/>
      <c r="G77" s="128"/>
      <c r="H77" s="130"/>
      <c r="I77" s="130"/>
      <c r="J77" s="130"/>
      <c r="K77" s="128"/>
      <c r="L77" s="506"/>
      <c r="M77" s="507"/>
    </row>
    <row r="78" spans="1:13" x14ac:dyDescent="0.2">
      <c r="A78" s="530"/>
      <c r="B78" s="503"/>
      <c r="C78" s="503"/>
      <c r="D78" s="531"/>
      <c r="E78" s="501"/>
      <c r="F78" s="132"/>
      <c r="G78" s="132"/>
      <c r="H78" s="131">
        <f>SUM(D76*0.35)</f>
        <v>466.58920000000001</v>
      </c>
      <c r="I78" s="131">
        <f>SUM(D76*0.35)</f>
        <v>466.58920000000001</v>
      </c>
      <c r="J78" s="132">
        <f>SUM(D76*0.3)</f>
        <v>399.93360000000001</v>
      </c>
      <c r="K78" s="132"/>
      <c r="L78" s="506"/>
      <c r="M78" s="507"/>
    </row>
    <row r="79" spans="1:13" x14ac:dyDescent="0.2">
      <c r="A79" s="525" t="s">
        <v>1337</v>
      </c>
      <c r="B79" s="526"/>
      <c r="C79" s="527"/>
      <c r="D79" s="147"/>
      <c r="E79" s="148"/>
      <c r="F79" s="149">
        <f>SUM(F78+F75+F72+F69+F66+F63+F60+F57+F54+F51+F48+F45+F42+F39+F36+F33+F30+F27+F24+F21+F18+F15+F12)</f>
        <v>112461.8582</v>
      </c>
      <c r="G79" s="149">
        <f t="shared" ref="G79:K79" si="0">SUM(G78+G75+G72+G69+G66+G63+G60+G57+G54+G51+G48+G45+G42+G39+G36+G33+G30+G27+G24+G21+G18+G15+G12)</f>
        <v>107244.51636000001</v>
      </c>
      <c r="H79" s="149">
        <f t="shared" si="0"/>
        <v>115482.82518500001</v>
      </c>
      <c r="I79" s="149">
        <f t="shared" si="0"/>
        <v>192127.42908000003</v>
      </c>
      <c r="J79" s="149">
        <f t="shared" si="0"/>
        <v>117148.1375</v>
      </c>
      <c r="K79" s="149">
        <f t="shared" si="0"/>
        <v>55697.382924999998</v>
      </c>
      <c r="L79" s="547"/>
      <c r="M79" s="548"/>
    </row>
    <row r="80" spans="1:13" x14ac:dyDescent="0.2">
      <c r="A80" s="508" t="s">
        <v>1338</v>
      </c>
      <c r="B80" s="509"/>
      <c r="C80" s="524"/>
      <c r="D80" s="147"/>
      <c r="E80" s="148"/>
      <c r="F80" s="149">
        <f>SUM(F79)</f>
        <v>112461.8582</v>
      </c>
      <c r="G80" s="149">
        <f>SUM(F80+G79)</f>
        <v>219706.37456000003</v>
      </c>
      <c r="H80" s="149">
        <f>SUM(G80+H79)</f>
        <v>335189.19974500005</v>
      </c>
      <c r="I80" s="149">
        <f>SUM(H80+I79)</f>
        <v>527316.62882500002</v>
      </c>
      <c r="J80" s="149">
        <f>SUM(I80+J79)</f>
        <v>644464.76632499998</v>
      </c>
      <c r="K80" s="149">
        <f>SUM(J80+K79)</f>
        <v>700162.14925000002</v>
      </c>
      <c r="L80" s="547"/>
      <c r="M80" s="548"/>
    </row>
    <row r="81" spans="1:13" x14ac:dyDescent="0.2">
      <c r="A81" s="508" t="s">
        <v>1339</v>
      </c>
      <c r="B81" s="509"/>
      <c r="C81" s="524"/>
      <c r="D81" s="150">
        <f>SUM(D10:D78)</f>
        <v>700162.14925000002</v>
      </c>
      <c r="E81" s="151">
        <f>SUM(E10:E78)</f>
        <v>1</v>
      </c>
      <c r="F81" s="127">
        <f>SUM(F79/D81)</f>
        <v>0.16062259052487618</v>
      </c>
      <c r="G81" s="127">
        <f>SUM(G79/D81)</f>
        <v>0.1531709711455814</v>
      </c>
      <c r="H81" s="127">
        <f>SUM(H79/D81)</f>
        <v>0.16493725818898231</v>
      </c>
      <c r="I81" s="127">
        <f>SUM(I79/D81)</f>
        <v>0.2744041923514477</v>
      </c>
      <c r="J81" s="127">
        <f>SUM(J79/D81)</f>
        <v>0.16731572482957954</v>
      </c>
      <c r="K81" s="127">
        <f>SUM(K79/D81)</f>
        <v>7.9549262959532935E-2</v>
      </c>
      <c r="L81" s="547">
        <f>SUM(L10:M78)</f>
        <v>700162.14925000002</v>
      </c>
      <c r="M81" s="548"/>
    </row>
    <row r="82" spans="1:13" x14ac:dyDescent="0.2">
      <c r="A82" s="508" t="s">
        <v>1340</v>
      </c>
      <c r="B82" s="509"/>
      <c r="C82" s="524"/>
      <c r="D82" s="147"/>
      <c r="E82" s="148"/>
      <c r="F82" s="152">
        <f>SUM(F80/D81)</f>
        <v>0.16062259052487618</v>
      </c>
      <c r="G82" s="152">
        <f>SUM(G80/D81)</f>
        <v>0.31379356167045763</v>
      </c>
      <c r="H82" s="152">
        <f>SUM(H80/D81)</f>
        <v>0.47873081985943994</v>
      </c>
      <c r="I82" s="152">
        <f>SUM(I80/D81)</f>
        <v>0.75313501221088752</v>
      </c>
      <c r="J82" s="152">
        <f>SUM(J80/D81)</f>
        <v>0.92045073704046698</v>
      </c>
      <c r="K82" s="152">
        <f>SUM(K80/D81)</f>
        <v>1</v>
      </c>
      <c r="L82" s="547"/>
      <c r="M82" s="548"/>
    </row>
    <row r="83" spans="1:13" x14ac:dyDescent="0.2">
      <c r="A83" s="508" t="s">
        <v>1341</v>
      </c>
      <c r="B83" s="509"/>
      <c r="C83" s="524"/>
      <c r="D83" s="150">
        <v>525161.25</v>
      </c>
      <c r="E83" s="151">
        <f>SUM(D83/D81)</f>
        <v>0.75005661268970691</v>
      </c>
      <c r="F83" s="149">
        <f>SUM(F79*E83)</f>
        <v>84352.760418282138</v>
      </c>
      <c r="G83" s="149">
        <f>SUM(G79*E83)</f>
        <v>80439.458670527471</v>
      </c>
      <c r="H83" s="149">
        <f>SUM(H79*E83)</f>
        <v>86618.656682098677</v>
      </c>
      <c r="I83" s="149">
        <f>SUM(I79*E83)</f>
        <v>144106.44866052672</v>
      </c>
      <c r="J83" s="149">
        <f>SUM(J79*E83)</f>
        <v>87867.735196158028</v>
      </c>
      <c r="K83" s="149">
        <f>SUM(K79*E83)</f>
        <v>41776.190372407022</v>
      </c>
      <c r="L83" s="547">
        <v>525161.25</v>
      </c>
      <c r="M83" s="548"/>
    </row>
    <row r="84" spans="1:13" x14ac:dyDescent="0.2">
      <c r="A84" s="549" t="s">
        <v>1342</v>
      </c>
      <c r="B84" s="550"/>
      <c r="C84" s="551"/>
      <c r="D84" s="153">
        <f>SUM(D81-D83)</f>
        <v>175000.89925000002</v>
      </c>
      <c r="E84" s="176">
        <f>SUM(D84/D81)</f>
        <v>0.24994338731029311</v>
      </c>
      <c r="F84" s="129">
        <f>SUM(F79*E84)</f>
        <v>28109.097781717865</v>
      </c>
      <c r="G84" s="129">
        <f>SUM(G79*E84)</f>
        <v>26805.057689472549</v>
      </c>
      <c r="H84" s="129">
        <f>SUM(H79*E84)</f>
        <v>28864.168502901328</v>
      </c>
      <c r="I84" s="154">
        <f>SUM(I79*E84)</f>
        <v>48020.980419473322</v>
      </c>
      <c r="J84" s="154">
        <f>SUM(J79*E84)</f>
        <v>29280.402303841973</v>
      </c>
      <c r="K84" s="154">
        <f>SUM(K79*E84)</f>
        <v>13921.19255259298</v>
      </c>
      <c r="L84" s="510">
        <f>D84</f>
        <v>175000.89925000002</v>
      </c>
      <c r="M84" s="511"/>
    </row>
    <row r="85" spans="1:13" x14ac:dyDescent="0.2">
      <c r="A85" s="194"/>
      <c r="B85" s="155"/>
      <c r="C85" s="155"/>
      <c r="D85" s="156"/>
      <c r="E85" s="157"/>
      <c r="F85" s="158"/>
      <c r="G85" s="158"/>
      <c r="H85" s="158"/>
      <c r="I85" s="159"/>
      <c r="J85" s="159"/>
      <c r="K85" s="159"/>
      <c r="L85" s="177"/>
      <c r="M85" s="195"/>
    </row>
    <row r="86" spans="1:13" x14ac:dyDescent="0.2">
      <c r="A86" s="520" t="s">
        <v>215</v>
      </c>
      <c r="B86" s="552" t="s">
        <v>226</v>
      </c>
      <c r="C86" s="553"/>
      <c r="D86" s="554">
        <f>SUM('Serviços Extras - Creche'!H27)</f>
        <v>139244.75</v>
      </c>
      <c r="E86" s="500">
        <f>SUM(D86/D130)</f>
        <v>0.3682957139130783</v>
      </c>
      <c r="F86" s="160">
        <f>SUM(F88/D86)</f>
        <v>0.25</v>
      </c>
      <c r="G86" s="127">
        <f>SUM(G88/D86)</f>
        <v>0.15</v>
      </c>
      <c r="H86" s="127">
        <f>SUM(H88/D86)</f>
        <v>0.15</v>
      </c>
      <c r="I86" s="127">
        <f>SUM(I88/D86)</f>
        <v>0.15</v>
      </c>
      <c r="J86" s="127">
        <f>SUM(J88/D86)</f>
        <v>0.15</v>
      </c>
      <c r="K86" s="160">
        <f>SUM(K88/D86)</f>
        <v>0.15</v>
      </c>
      <c r="L86" s="504">
        <f>SUM(F88+G88+H88+I88+J88+K88)</f>
        <v>139244.74999999997</v>
      </c>
      <c r="M86" s="505"/>
    </row>
    <row r="87" spans="1:13" x14ac:dyDescent="0.2">
      <c r="A87" s="530"/>
      <c r="B87" s="503"/>
      <c r="C87" s="503"/>
      <c r="D87" s="531"/>
      <c r="E87" s="501"/>
      <c r="F87" s="130"/>
      <c r="G87" s="130"/>
      <c r="H87" s="130"/>
      <c r="I87" s="130"/>
      <c r="J87" s="130"/>
      <c r="K87" s="130"/>
      <c r="L87" s="506"/>
      <c r="M87" s="507"/>
    </row>
    <row r="88" spans="1:13" x14ac:dyDescent="0.2">
      <c r="A88" s="530"/>
      <c r="B88" s="503"/>
      <c r="C88" s="503"/>
      <c r="D88" s="531"/>
      <c r="E88" s="501"/>
      <c r="F88" s="129">
        <f>SUM(D86*0.25)</f>
        <v>34811.1875</v>
      </c>
      <c r="G88" s="134">
        <f>SUM(D86*0.15)</f>
        <v>20886.712499999998</v>
      </c>
      <c r="H88" s="134">
        <f>SUM(D86*0.15)</f>
        <v>20886.712499999998</v>
      </c>
      <c r="I88" s="134">
        <f>SUM(D86*0.15)</f>
        <v>20886.712499999998</v>
      </c>
      <c r="J88" s="128">
        <f>SUM(D86*0.15)</f>
        <v>20886.712499999998</v>
      </c>
      <c r="K88" s="128">
        <f>SUM(D86*0.15)</f>
        <v>20886.712499999998</v>
      </c>
      <c r="L88" s="506"/>
      <c r="M88" s="507"/>
    </row>
    <row r="89" spans="1:13" x14ac:dyDescent="0.2">
      <c r="A89" s="530" t="s">
        <v>217</v>
      </c>
      <c r="B89" s="502" t="s">
        <v>526</v>
      </c>
      <c r="C89" s="503"/>
      <c r="D89" s="531">
        <f>SUM('Serviços Extras - Creche'!H34)</f>
        <v>13457.880000000001</v>
      </c>
      <c r="E89" s="532">
        <f>SUM(D89/D130)</f>
        <v>3.5595449899235257E-2</v>
      </c>
      <c r="F89" s="127">
        <f>SUM(F91/D89)</f>
        <v>0.3</v>
      </c>
      <c r="G89" s="127">
        <f>SUM(G91/D89)</f>
        <v>0.7</v>
      </c>
      <c r="H89" s="161"/>
      <c r="I89" s="161"/>
      <c r="J89" s="161"/>
      <c r="K89" s="161"/>
      <c r="L89" s="504">
        <f>SUM(F91+G91+H91+I91+J91+K91)</f>
        <v>13457.88</v>
      </c>
      <c r="M89" s="505"/>
    </row>
    <row r="90" spans="1:13" x14ac:dyDescent="0.2">
      <c r="A90" s="530"/>
      <c r="B90" s="503"/>
      <c r="C90" s="503"/>
      <c r="D90" s="531"/>
      <c r="E90" s="533"/>
      <c r="F90" s="130"/>
      <c r="G90" s="130"/>
      <c r="H90" s="128"/>
      <c r="I90" s="128"/>
      <c r="J90" s="128"/>
      <c r="K90" s="128"/>
      <c r="L90" s="506"/>
      <c r="M90" s="507"/>
    </row>
    <row r="91" spans="1:13" ht="13.5" thickBot="1" x14ac:dyDescent="0.25">
      <c r="A91" s="534"/>
      <c r="B91" s="535"/>
      <c r="C91" s="535"/>
      <c r="D91" s="536"/>
      <c r="E91" s="537"/>
      <c r="F91" s="190">
        <f>SUM(D89*0.3)</f>
        <v>4037.364</v>
      </c>
      <c r="G91" s="190">
        <f>SUM(D89*0.7)</f>
        <v>9420.5159999999996</v>
      </c>
      <c r="H91" s="196"/>
      <c r="I91" s="196"/>
      <c r="J91" s="196"/>
      <c r="K91" s="196"/>
      <c r="L91" s="538"/>
      <c r="M91" s="539"/>
    </row>
    <row r="92" spans="1:13" x14ac:dyDescent="0.2">
      <c r="A92" s="540" t="s">
        <v>221</v>
      </c>
      <c r="B92" s="541" t="s">
        <v>107</v>
      </c>
      <c r="C92" s="542"/>
      <c r="D92" s="543">
        <f>SUM('Serviços Extras - Creche'!H39)</f>
        <v>13768.72</v>
      </c>
      <c r="E92" s="544">
        <f>SUM(D92/D130)</f>
        <v>3.6417606854615918E-2</v>
      </c>
      <c r="F92" s="193">
        <f>SUM(F94/D92)</f>
        <v>0.15</v>
      </c>
      <c r="G92" s="193">
        <f>SUM(G94/D92)</f>
        <v>0.55000000000000004</v>
      </c>
      <c r="H92" s="193">
        <f>SUM(H94/D92)</f>
        <v>0.3</v>
      </c>
      <c r="I92" s="197"/>
      <c r="J92" s="197"/>
      <c r="K92" s="197"/>
      <c r="L92" s="545">
        <f>SUM(F94+G94+H94+I94+J94+K94)</f>
        <v>13768.72</v>
      </c>
      <c r="M92" s="546"/>
    </row>
    <row r="93" spans="1:13" x14ac:dyDescent="0.2">
      <c r="A93" s="530"/>
      <c r="B93" s="503"/>
      <c r="C93" s="503"/>
      <c r="D93" s="531"/>
      <c r="E93" s="533"/>
      <c r="F93" s="130"/>
      <c r="G93" s="130"/>
      <c r="H93" s="130"/>
      <c r="I93" s="128"/>
      <c r="J93" s="128"/>
      <c r="K93" s="128"/>
      <c r="L93" s="506"/>
      <c r="M93" s="507"/>
    </row>
    <row r="94" spans="1:13" x14ac:dyDescent="0.2">
      <c r="A94" s="530"/>
      <c r="B94" s="503"/>
      <c r="C94" s="503"/>
      <c r="D94" s="531"/>
      <c r="E94" s="533"/>
      <c r="F94" s="132">
        <f>SUM(D92*0.15)</f>
        <v>2065.308</v>
      </c>
      <c r="G94" s="132">
        <f>SUM(D92*0.55)</f>
        <v>7572.7960000000003</v>
      </c>
      <c r="H94" s="167">
        <f>SUM(D92*0.3)</f>
        <v>4130.616</v>
      </c>
      <c r="I94" s="167"/>
      <c r="J94" s="167"/>
      <c r="K94" s="167"/>
      <c r="L94" s="506"/>
      <c r="M94" s="507"/>
    </row>
    <row r="95" spans="1:13" x14ac:dyDescent="0.2">
      <c r="A95" s="530" t="s">
        <v>628</v>
      </c>
      <c r="B95" s="502" t="s">
        <v>479</v>
      </c>
      <c r="C95" s="503"/>
      <c r="D95" s="531">
        <f>SUM('Serviços Extras - Creche'!H46)</f>
        <v>11371</v>
      </c>
      <c r="E95" s="532">
        <f>SUM(D95/D130)</f>
        <v>3.0075751961245314E-2</v>
      </c>
      <c r="F95" s="163"/>
      <c r="G95" s="127">
        <f>SUM(G97/D95)</f>
        <v>0.25</v>
      </c>
      <c r="H95" s="127">
        <f>SUM(H97/D95)</f>
        <v>0.75</v>
      </c>
      <c r="I95" s="161"/>
      <c r="J95" s="161"/>
      <c r="K95" s="161"/>
      <c r="L95" s="504">
        <f>SUM(F97+G97+H97+I97+J97+K97)</f>
        <v>11371</v>
      </c>
      <c r="M95" s="505"/>
    </row>
    <row r="96" spans="1:13" x14ac:dyDescent="0.2">
      <c r="A96" s="530"/>
      <c r="B96" s="503"/>
      <c r="C96" s="503"/>
      <c r="D96" s="531"/>
      <c r="E96" s="533"/>
      <c r="F96" s="162"/>
      <c r="G96" s="130"/>
      <c r="H96" s="130"/>
      <c r="I96" s="128"/>
      <c r="J96" s="128"/>
      <c r="K96" s="128"/>
      <c r="L96" s="506"/>
      <c r="M96" s="507"/>
    </row>
    <row r="97" spans="1:18" x14ac:dyDescent="0.2">
      <c r="A97" s="530"/>
      <c r="B97" s="503"/>
      <c r="C97" s="503"/>
      <c r="D97" s="531"/>
      <c r="E97" s="533"/>
      <c r="F97" s="132"/>
      <c r="G97" s="132">
        <f>SUM(D95*0.25)</f>
        <v>2842.75</v>
      </c>
      <c r="H97" s="167">
        <f>SUM(D95*0.75)</f>
        <v>8528.25</v>
      </c>
      <c r="I97" s="167"/>
      <c r="J97" s="167"/>
      <c r="K97" s="167"/>
      <c r="L97" s="506"/>
      <c r="M97" s="507"/>
    </row>
    <row r="98" spans="1:18" x14ac:dyDescent="0.2">
      <c r="A98" s="530" t="s">
        <v>223</v>
      </c>
      <c r="B98" s="502" t="s">
        <v>631</v>
      </c>
      <c r="C98" s="503"/>
      <c r="D98" s="531">
        <f>SUM('Serviços Extras - Creche'!H59)</f>
        <v>68002.41</v>
      </c>
      <c r="E98" s="500">
        <f>SUM(D98/D130)</f>
        <v>0.17986312689533973</v>
      </c>
      <c r="F98" s="164"/>
      <c r="G98" s="127">
        <f>SUM(G100/D98)</f>
        <v>0.15</v>
      </c>
      <c r="H98" s="127">
        <f>SUM(H100/D98)</f>
        <v>0.35</v>
      </c>
      <c r="I98" s="127">
        <f>SUM(I100/D98)</f>
        <v>0.35</v>
      </c>
      <c r="J98" s="127">
        <f>SUM(J100/D98)</f>
        <v>0.15</v>
      </c>
      <c r="K98" s="128"/>
      <c r="L98" s="504">
        <f>SUM(F100+G100+H100+I100+J100+K100)</f>
        <v>68002.41</v>
      </c>
      <c r="M98" s="505"/>
      <c r="O98" s="127"/>
      <c r="P98" s="127">
        <f>SUM(P100/L98)</f>
        <v>0</v>
      </c>
      <c r="Q98" s="127">
        <f>SUM(Q100/L98)</f>
        <v>0</v>
      </c>
      <c r="R98" s="127">
        <f>SUM(R100/L98)</f>
        <v>0</v>
      </c>
    </row>
    <row r="99" spans="1:18" x14ac:dyDescent="0.2">
      <c r="A99" s="530"/>
      <c r="B99" s="503"/>
      <c r="C99" s="503"/>
      <c r="D99" s="531"/>
      <c r="E99" s="501"/>
      <c r="F99" s="164"/>
      <c r="G99" s="130"/>
      <c r="H99" s="130"/>
      <c r="I99" s="130"/>
      <c r="J99" s="130"/>
      <c r="K99" s="128"/>
      <c r="L99" s="506"/>
      <c r="M99" s="507"/>
    </row>
    <row r="100" spans="1:18" x14ac:dyDescent="0.2">
      <c r="A100" s="530"/>
      <c r="B100" s="503"/>
      <c r="C100" s="503"/>
      <c r="D100" s="531"/>
      <c r="E100" s="501"/>
      <c r="F100" s="165"/>
      <c r="G100" s="132">
        <f>SUM(D98*0.15)</f>
        <v>10200.361500000001</v>
      </c>
      <c r="H100" s="132">
        <f>SUM(D98*0.35)</f>
        <v>23800.843499999999</v>
      </c>
      <c r="I100" s="132">
        <f>SUM(D98*0.35)</f>
        <v>23800.843499999999</v>
      </c>
      <c r="J100" s="132">
        <f>SUM(D98*0.15)</f>
        <v>10200.361500000001</v>
      </c>
      <c r="K100" s="132"/>
      <c r="L100" s="506"/>
      <c r="M100" s="507"/>
    </row>
    <row r="101" spans="1:18" x14ac:dyDescent="0.2">
      <c r="A101" s="530" t="s">
        <v>636</v>
      </c>
      <c r="B101" s="502" t="s">
        <v>637</v>
      </c>
      <c r="C101" s="503"/>
      <c r="D101" s="531">
        <f>SUM('Serviços Extras - Creche'!H63)</f>
        <v>26039.719999999998</v>
      </c>
      <c r="E101" s="500">
        <f>SUM(D101/D130)</f>
        <v>6.8873815835043428E-2</v>
      </c>
      <c r="F101" s="163"/>
      <c r="G101" s="163"/>
      <c r="H101" s="127">
        <f>SUM(H103/D101)</f>
        <v>0.2</v>
      </c>
      <c r="I101" s="127">
        <f>SUM(I103/D101)</f>
        <v>0.4</v>
      </c>
      <c r="J101" s="127">
        <f>SUM(J103/D101)</f>
        <v>0.4</v>
      </c>
      <c r="K101" s="166"/>
      <c r="L101" s="504">
        <f>SUM(F103+G103+H103+I103+J103+K103)</f>
        <v>26039.719999999998</v>
      </c>
      <c r="M101" s="505"/>
    </row>
    <row r="102" spans="1:18" x14ac:dyDescent="0.2">
      <c r="A102" s="530"/>
      <c r="B102" s="503"/>
      <c r="C102" s="503"/>
      <c r="D102" s="531"/>
      <c r="E102" s="501"/>
      <c r="F102" s="164"/>
      <c r="G102" s="164"/>
      <c r="H102" s="130"/>
      <c r="I102" s="130"/>
      <c r="J102" s="130"/>
      <c r="K102" s="128"/>
      <c r="L102" s="506"/>
      <c r="M102" s="507"/>
    </row>
    <row r="103" spans="1:18" x14ac:dyDescent="0.2">
      <c r="A103" s="530"/>
      <c r="B103" s="503"/>
      <c r="C103" s="503"/>
      <c r="D103" s="531"/>
      <c r="E103" s="501"/>
      <c r="F103" s="165"/>
      <c r="G103" s="165"/>
      <c r="H103" s="165">
        <f>SUM(D101*0.2)</f>
        <v>5207.9439999999995</v>
      </c>
      <c r="I103" s="167">
        <f>SUM(D101*0.4)</f>
        <v>10415.887999999999</v>
      </c>
      <c r="J103" s="165">
        <f>SUM(D101*0.4)</f>
        <v>10415.887999999999</v>
      </c>
      <c r="K103" s="167"/>
      <c r="L103" s="506"/>
      <c r="M103" s="507"/>
    </row>
    <row r="104" spans="1:18" x14ac:dyDescent="0.2">
      <c r="A104" s="518" t="s">
        <v>640</v>
      </c>
      <c r="B104" s="502" t="s">
        <v>64</v>
      </c>
      <c r="C104" s="503"/>
      <c r="D104" s="521">
        <f>SUM('Serviços Extras - Creche'!H66)</f>
        <v>9515.1</v>
      </c>
      <c r="E104" s="500">
        <f>SUM(D104/D130)</f>
        <v>2.5166985092467269E-2</v>
      </c>
      <c r="F104" s="168"/>
      <c r="G104" s="127">
        <f>SUM(G106/D104)</f>
        <v>0.1</v>
      </c>
      <c r="H104" s="127">
        <f>SUM(H106/D104)</f>
        <v>0.15</v>
      </c>
      <c r="I104" s="127">
        <f>SUM(I106/D104)</f>
        <v>0.15</v>
      </c>
      <c r="J104" s="127">
        <f>SUM(J106/D104)</f>
        <v>0.25</v>
      </c>
      <c r="K104" s="127">
        <f>SUM(K106/D104)</f>
        <v>0.35</v>
      </c>
      <c r="L104" s="504">
        <f>SUM(F106+G106+H106+I106+J106+K106)</f>
        <v>9515.1</v>
      </c>
      <c r="M104" s="505"/>
    </row>
    <row r="105" spans="1:18" x14ac:dyDescent="0.2">
      <c r="A105" s="519"/>
      <c r="B105" s="503"/>
      <c r="C105" s="503"/>
      <c r="D105" s="522"/>
      <c r="E105" s="501"/>
      <c r="F105" s="169"/>
      <c r="G105" s="130"/>
      <c r="H105" s="130"/>
      <c r="I105" s="130"/>
      <c r="J105" s="130"/>
      <c r="K105" s="130"/>
      <c r="L105" s="506"/>
      <c r="M105" s="507"/>
    </row>
    <row r="106" spans="1:18" x14ac:dyDescent="0.2">
      <c r="A106" s="520"/>
      <c r="B106" s="503"/>
      <c r="C106" s="503"/>
      <c r="D106" s="523"/>
      <c r="E106" s="501"/>
      <c r="F106" s="170"/>
      <c r="G106" s="165">
        <f>SUM(D104*0.1)</f>
        <v>951.5100000000001</v>
      </c>
      <c r="H106" s="165">
        <f>SUM(D104*0.15)</f>
        <v>1427.2650000000001</v>
      </c>
      <c r="I106" s="165">
        <f>SUM(D104*0.15)</f>
        <v>1427.2650000000001</v>
      </c>
      <c r="J106" s="165">
        <f>SUM(D104*0.25)</f>
        <v>2378.7750000000001</v>
      </c>
      <c r="K106" s="165">
        <f>SUM(D104*0.35)</f>
        <v>3330.2849999999999</v>
      </c>
      <c r="L106" s="506"/>
      <c r="M106" s="507"/>
    </row>
    <row r="107" spans="1:18" x14ac:dyDescent="0.2">
      <c r="A107" s="518" t="s">
        <v>676</v>
      </c>
      <c r="B107" s="502" t="s">
        <v>44</v>
      </c>
      <c r="C107" s="503"/>
      <c r="D107" s="521">
        <f>SUM('Serviços Extras - Creche'!H77)</f>
        <v>3609.3900000000003</v>
      </c>
      <c r="E107" s="500">
        <f>SUM(D107/D130)</f>
        <v>9.5466641782955969E-3</v>
      </c>
      <c r="F107" s="168"/>
      <c r="G107" s="127">
        <f>SUM(G109/D107)</f>
        <v>0.3</v>
      </c>
      <c r="H107" s="127">
        <f>SUM(H109/D107)</f>
        <v>0.40000000000000008</v>
      </c>
      <c r="I107" s="127">
        <f>SUM(I109/D107)</f>
        <v>0.3</v>
      </c>
      <c r="J107" s="127"/>
      <c r="K107" s="127"/>
      <c r="L107" s="504">
        <f t="shared" ref="L107" si="1">SUM(F109+G109+H109+I109+J109+K109)</f>
        <v>3609.3900000000003</v>
      </c>
      <c r="M107" s="505"/>
    </row>
    <row r="108" spans="1:18" x14ac:dyDescent="0.2">
      <c r="A108" s="519"/>
      <c r="B108" s="503"/>
      <c r="C108" s="503"/>
      <c r="D108" s="522"/>
      <c r="E108" s="501"/>
      <c r="F108" s="169"/>
      <c r="G108" s="130"/>
      <c r="H108" s="130"/>
      <c r="I108" s="130"/>
      <c r="J108" s="169"/>
      <c r="K108" s="169"/>
      <c r="L108" s="506"/>
      <c r="M108" s="507"/>
    </row>
    <row r="109" spans="1:18" x14ac:dyDescent="0.2">
      <c r="A109" s="520"/>
      <c r="B109" s="503"/>
      <c r="C109" s="503"/>
      <c r="D109" s="523"/>
      <c r="E109" s="501"/>
      <c r="F109" s="170"/>
      <c r="G109" s="165">
        <f>SUM(D107*0.3)</f>
        <v>1082.817</v>
      </c>
      <c r="H109" s="165">
        <f>SUM(D107*0.4)</f>
        <v>1443.7560000000003</v>
      </c>
      <c r="I109" s="165">
        <f>SUM(D107*0.3)</f>
        <v>1082.817</v>
      </c>
      <c r="J109" s="165"/>
      <c r="K109" s="165"/>
      <c r="L109" s="506"/>
      <c r="M109" s="507"/>
    </row>
    <row r="110" spans="1:18" x14ac:dyDescent="0.2">
      <c r="A110" s="518" t="s">
        <v>765</v>
      </c>
      <c r="B110" s="502" t="s">
        <v>47</v>
      </c>
      <c r="C110" s="503"/>
      <c r="D110" s="521">
        <f>SUM('Serviços Extras - Creche'!H81)</f>
        <v>30409.47</v>
      </c>
      <c r="E110" s="500">
        <f>SUM(D110/D130)</f>
        <v>8.0431595901233888E-2</v>
      </c>
      <c r="F110" s="127">
        <f>SUM(F112/D110)</f>
        <v>0.15</v>
      </c>
      <c r="G110" s="181">
        <f>SUM(G109,G106)</f>
        <v>2034.3270000000002</v>
      </c>
      <c r="H110" s="127">
        <f>SUM(H112/D110)</f>
        <v>0.3</v>
      </c>
      <c r="I110" s="127">
        <f>SUM(I112/D110)</f>
        <v>0.2</v>
      </c>
      <c r="J110" s="127"/>
      <c r="K110" s="127"/>
      <c r="L110" s="504">
        <f t="shared" ref="L110" si="2">SUM(F112+G112+H112+I112+J112+K112)</f>
        <v>30409.47</v>
      </c>
      <c r="M110" s="505"/>
    </row>
    <row r="111" spans="1:18" x14ac:dyDescent="0.2">
      <c r="A111" s="519"/>
      <c r="B111" s="503"/>
      <c r="C111" s="503"/>
      <c r="D111" s="522"/>
      <c r="E111" s="501"/>
      <c r="F111" s="130"/>
      <c r="G111" s="130"/>
      <c r="H111" s="130"/>
      <c r="I111" s="130"/>
      <c r="J111" s="169"/>
      <c r="K111" s="169"/>
      <c r="L111" s="506"/>
      <c r="M111" s="507"/>
    </row>
    <row r="112" spans="1:18" x14ac:dyDescent="0.2">
      <c r="A112" s="520"/>
      <c r="B112" s="503"/>
      <c r="C112" s="503"/>
      <c r="D112" s="523"/>
      <c r="E112" s="501"/>
      <c r="F112" s="170">
        <f>SUM(D110*0.15)</f>
        <v>4561.4205000000002</v>
      </c>
      <c r="G112" s="165">
        <f>SUM(D110*0.35)</f>
        <v>10643.3145</v>
      </c>
      <c r="H112" s="165">
        <f>SUM(D110*0.3)</f>
        <v>9122.8410000000003</v>
      </c>
      <c r="I112" s="165">
        <f>SUM(D110*0.2)</f>
        <v>6081.8940000000002</v>
      </c>
      <c r="J112" s="165"/>
      <c r="K112" s="165"/>
      <c r="L112" s="506"/>
      <c r="M112" s="507"/>
    </row>
    <row r="113" spans="1:13" x14ac:dyDescent="0.2">
      <c r="A113" s="518" t="s">
        <v>678</v>
      </c>
      <c r="B113" s="502" t="s">
        <v>64</v>
      </c>
      <c r="C113" s="503"/>
      <c r="D113" s="521">
        <f>SUM('Serviços Extras - Creche'!H87)</f>
        <v>25494.710000000003</v>
      </c>
      <c r="E113" s="500">
        <f>SUM(D113/D130)</f>
        <v>6.7432290412793999E-2</v>
      </c>
      <c r="F113" s="168"/>
      <c r="G113" s="127">
        <f>SUM(G115/D113)</f>
        <v>0.15</v>
      </c>
      <c r="H113" s="127">
        <f>SUM(H115/D113)</f>
        <v>0.25</v>
      </c>
      <c r="I113" s="127">
        <f>SUM(I115/D113)</f>
        <v>0.15</v>
      </c>
      <c r="J113" s="127">
        <f>SUM(J115/D113)</f>
        <v>0.2</v>
      </c>
      <c r="K113" s="127">
        <f>SUM(K115/D113)</f>
        <v>0.25</v>
      </c>
      <c r="L113" s="504">
        <f t="shared" ref="L113" si="3">SUM(F115+G115+H115+I115+J115+K115)</f>
        <v>25494.710000000003</v>
      </c>
      <c r="M113" s="505"/>
    </row>
    <row r="114" spans="1:13" x14ac:dyDescent="0.2">
      <c r="A114" s="519"/>
      <c r="B114" s="503"/>
      <c r="C114" s="503"/>
      <c r="D114" s="522"/>
      <c r="E114" s="501"/>
      <c r="F114" s="169"/>
      <c r="G114" s="130"/>
      <c r="H114" s="130"/>
      <c r="I114" s="130"/>
      <c r="J114" s="130"/>
      <c r="K114" s="130"/>
      <c r="L114" s="506"/>
      <c r="M114" s="507"/>
    </row>
    <row r="115" spans="1:13" x14ac:dyDescent="0.2">
      <c r="A115" s="520"/>
      <c r="B115" s="503"/>
      <c r="C115" s="503"/>
      <c r="D115" s="523"/>
      <c r="E115" s="501"/>
      <c r="F115" s="170"/>
      <c r="G115" s="165">
        <f>SUM(D113*0.15)</f>
        <v>3824.2065000000002</v>
      </c>
      <c r="H115" s="165">
        <f>SUM(D113*0.25)</f>
        <v>6373.6775000000007</v>
      </c>
      <c r="I115" s="165">
        <f>SUM(D113*0.15)</f>
        <v>3824.2065000000002</v>
      </c>
      <c r="J115" s="165">
        <f>SUM(D113*0.2)</f>
        <v>5098.9420000000009</v>
      </c>
      <c r="K115" s="165">
        <f>SUM(D113*0.25)</f>
        <v>6373.6775000000007</v>
      </c>
      <c r="L115" s="506"/>
      <c r="M115" s="507"/>
    </row>
    <row r="116" spans="1:13" x14ac:dyDescent="0.2">
      <c r="A116" s="518" t="s">
        <v>683</v>
      </c>
      <c r="B116" s="502" t="s">
        <v>447</v>
      </c>
      <c r="C116" s="503"/>
      <c r="D116" s="521">
        <f>SUM('Serviços Extras - Creche'!H96)</f>
        <v>6847.46</v>
      </c>
      <c r="E116" s="500">
        <f>SUM(D116/D130)</f>
        <v>1.8111204689521487E-2</v>
      </c>
      <c r="F116" s="127">
        <f>SUM(F118/D116)</f>
        <v>0.10000000000000002</v>
      </c>
      <c r="G116" s="127">
        <f>SUM(G118/D116)</f>
        <v>0.20000000000000004</v>
      </c>
      <c r="H116" s="127">
        <f>SUM(H118/D116)</f>
        <v>0.20000000000000004</v>
      </c>
      <c r="I116" s="127">
        <f>SUM(I118/D116)</f>
        <v>0.25</v>
      </c>
      <c r="J116" s="127">
        <f>SUM(J118/D116)</f>
        <v>0.15</v>
      </c>
      <c r="K116" s="127">
        <f>SUM(K118/D116)</f>
        <v>0.10000000000000002</v>
      </c>
      <c r="L116" s="504">
        <f t="shared" ref="L116" si="4">SUM(F118+G118+H118+I118+J118+K118)</f>
        <v>6847.46</v>
      </c>
      <c r="M116" s="505"/>
    </row>
    <row r="117" spans="1:13" x14ac:dyDescent="0.2">
      <c r="A117" s="519"/>
      <c r="B117" s="503"/>
      <c r="C117" s="503"/>
      <c r="D117" s="522"/>
      <c r="E117" s="501"/>
      <c r="F117" s="130"/>
      <c r="G117" s="130"/>
      <c r="H117" s="130"/>
      <c r="I117" s="130"/>
      <c r="J117" s="130"/>
      <c r="K117" s="130"/>
      <c r="L117" s="506"/>
      <c r="M117" s="507"/>
    </row>
    <row r="118" spans="1:13" x14ac:dyDescent="0.2">
      <c r="A118" s="520"/>
      <c r="B118" s="503"/>
      <c r="C118" s="503"/>
      <c r="D118" s="523"/>
      <c r="E118" s="501"/>
      <c r="F118" s="165">
        <f>SUM(D116*0.1)</f>
        <v>684.74600000000009</v>
      </c>
      <c r="G118" s="165">
        <f>SUM(D116*0.2)</f>
        <v>1369.4920000000002</v>
      </c>
      <c r="H118" s="165">
        <f>SUM(D116*0.2)</f>
        <v>1369.4920000000002</v>
      </c>
      <c r="I118" s="165">
        <f>SUM(D116*0.25)</f>
        <v>1711.865</v>
      </c>
      <c r="J118" s="165">
        <f>SUM(D116*0.15)</f>
        <v>1027.1189999999999</v>
      </c>
      <c r="K118" s="165">
        <f>SUM(D116*0.1)</f>
        <v>684.74600000000009</v>
      </c>
      <c r="L118" s="506"/>
      <c r="M118" s="507"/>
    </row>
    <row r="119" spans="1:13" x14ac:dyDescent="0.2">
      <c r="A119" s="518" t="s">
        <v>685</v>
      </c>
      <c r="B119" s="502" t="s">
        <v>148</v>
      </c>
      <c r="C119" s="503"/>
      <c r="D119" s="521">
        <f>SUM('Serviços Extras - Creche'!H109)</f>
        <v>4692.25</v>
      </c>
      <c r="E119" s="500">
        <f>SUM(D119/D130)</f>
        <v>1.2410777164730748E-2</v>
      </c>
      <c r="F119" s="168"/>
      <c r="G119" s="127">
        <f>SUM(G121/D119)</f>
        <v>0.1</v>
      </c>
      <c r="H119" s="127">
        <f>SUM(H121/D119)</f>
        <v>0.2</v>
      </c>
      <c r="I119" s="127">
        <f>SUM(I121/D119)</f>
        <v>0.3</v>
      </c>
      <c r="J119" s="127">
        <f>SUM(J121/D119)</f>
        <v>0.3</v>
      </c>
      <c r="K119" s="127">
        <f>SUM(K121/D119)</f>
        <v>0.1</v>
      </c>
      <c r="L119" s="504">
        <f t="shared" ref="L119" si="5">SUM(F121+G121+H121+I121+J121+K121)</f>
        <v>4692.2500000000009</v>
      </c>
      <c r="M119" s="505"/>
    </row>
    <row r="120" spans="1:13" x14ac:dyDescent="0.2">
      <c r="A120" s="519"/>
      <c r="B120" s="503"/>
      <c r="C120" s="503"/>
      <c r="D120" s="522"/>
      <c r="E120" s="501"/>
      <c r="F120" s="169"/>
      <c r="G120" s="130"/>
      <c r="H120" s="130"/>
      <c r="I120" s="130"/>
      <c r="J120" s="130"/>
      <c r="K120" s="130"/>
      <c r="L120" s="506"/>
      <c r="M120" s="507"/>
    </row>
    <row r="121" spans="1:13" x14ac:dyDescent="0.2">
      <c r="A121" s="520"/>
      <c r="B121" s="503"/>
      <c r="C121" s="503"/>
      <c r="D121" s="523"/>
      <c r="E121" s="501"/>
      <c r="F121" s="165"/>
      <c r="G121" s="165">
        <f>SUM(D119*0.1)</f>
        <v>469.22500000000002</v>
      </c>
      <c r="H121" s="165">
        <f>SUM(D119*0.2)</f>
        <v>938.45</v>
      </c>
      <c r="I121" s="165">
        <f>SUM(D119*0.3)</f>
        <v>1407.675</v>
      </c>
      <c r="J121" s="165">
        <f>SUM(D119*0.3)</f>
        <v>1407.675</v>
      </c>
      <c r="K121" s="165">
        <f>SUM(D119*0.1)</f>
        <v>469.22500000000002</v>
      </c>
      <c r="L121" s="506"/>
      <c r="M121" s="507"/>
    </row>
    <row r="122" spans="1:13" x14ac:dyDescent="0.2">
      <c r="A122" s="518" t="s">
        <v>701</v>
      </c>
      <c r="B122" s="502" t="s">
        <v>304</v>
      </c>
      <c r="C122" s="503"/>
      <c r="D122" s="521">
        <f>SUM('Serviços Extras - Creche'!H124)</f>
        <v>25031.730000000007</v>
      </c>
      <c r="E122" s="500">
        <f>SUM(D122/D130)</f>
        <v>6.6207730423081826E-2</v>
      </c>
      <c r="F122" s="127">
        <f>SUM(F124/D122)</f>
        <v>0.1</v>
      </c>
      <c r="G122" s="127">
        <f>SUM(G124/D122)</f>
        <v>0.25</v>
      </c>
      <c r="H122" s="127">
        <f>SUM(H124/D122)</f>
        <v>0.35</v>
      </c>
      <c r="I122" s="127">
        <f>SUM(I124/D122)</f>
        <v>0.25</v>
      </c>
      <c r="J122" s="127">
        <f>SUM(J124/D122)</f>
        <v>0.05</v>
      </c>
      <c r="K122" s="127"/>
      <c r="L122" s="504">
        <f t="shared" ref="L122" si="6">SUM(F124+G124+H124+I124+J124+K124)</f>
        <v>25031.730000000007</v>
      </c>
      <c r="M122" s="505"/>
    </row>
    <row r="123" spans="1:13" x14ac:dyDescent="0.2">
      <c r="A123" s="519"/>
      <c r="B123" s="503"/>
      <c r="C123" s="503"/>
      <c r="D123" s="522"/>
      <c r="E123" s="501"/>
      <c r="F123" s="130"/>
      <c r="G123" s="130"/>
      <c r="H123" s="130"/>
      <c r="I123" s="130"/>
      <c r="J123" s="130"/>
      <c r="K123" s="169"/>
      <c r="L123" s="506"/>
      <c r="M123" s="507"/>
    </row>
    <row r="124" spans="1:13" x14ac:dyDescent="0.2">
      <c r="A124" s="520"/>
      <c r="B124" s="503"/>
      <c r="C124" s="503"/>
      <c r="D124" s="523"/>
      <c r="E124" s="501"/>
      <c r="F124" s="165">
        <f>SUM(D122*0.1)</f>
        <v>2503.1730000000007</v>
      </c>
      <c r="G124" s="165">
        <f>SUM(D122*0.25)</f>
        <v>6257.9325000000017</v>
      </c>
      <c r="H124" s="165">
        <f>SUM(D122*0.35)</f>
        <v>8761.1055000000015</v>
      </c>
      <c r="I124" s="165">
        <f>SUM(D122*0.25)</f>
        <v>6257.9325000000017</v>
      </c>
      <c r="J124" s="165">
        <f>SUM(D122*0.05)</f>
        <v>1251.5865000000003</v>
      </c>
      <c r="K124" s="165"/>
      <c r="L124" s="506"/>
      <c r="M124" s="507"/>
    </row>
    <row r="125" spans="1:13" x14ac:dyDescent="0.2">
      <c r="A125" s="518" t="s">
        <v>709</v>
      </c>
      <c r="B125" s="502" t="s">
        <v>41</v>
      </c>
      <c r="C125" s="503"/>
      <c r="D125" s="521">
        <f>SUM('Serviços Extras - Creche'!H127)</f>
        <v>594.07000000000005</v>
      </c>
      <c r="E125" s="500">
        <f>SUM(D125/D130)</f>
        <v>1.5712867793172989E-3</v>
      </c>
      <c r="F125" s="168"/>
      <c r="G125" s="127">
        <f>SUM(G127/D125)</f>
        <v>1</v>
      </c>
      <c r="H125" s="127"/>
      <c r="I125" s="127"/>
      <c r="J125" s="127"/>
      <c r="K125" s="127"/>
      <c r="L125" s="504">
        <f t="shared" ref="L125" si="7">SUM(F127+G127+H127+I127+J127+K127)</f>
        <v>594.07000000000005</v>
      </c>
      <c r="M125" s="505"/>
    </row>
    <row r="126" spans="1:13" x14ac:dyDescent="0.2">
      <c r="A126" s="519"/>
      <c r="B126" s="503"/>
      <c r="C126" s="503"/>
      <c r="D126" s="522"/>
      <c r="E126" s="501"/>
      <c r="F126" s="169"/>
      <c r="G126" s="130"/>
      <c r="H126" s="169"/>
      <c r="I126" s="169"/>
      <c r="J126" s="169"/>
      <c r="K126" s="169"/>
      <c r="L126" s="506"/>
      <c r="M126" s="507"/>
    </row>
    <row r="127" spans="1:13" x14ac:dyDescent="0.2">
      <c r="A127" s="520"/>
      <c r="B127" s="503"/>
      <c r="C127" s="503"/>
      <c r="D127" s="523"/>
      <c r="E127" s="501"/>
      <c r="F127" s="165"/>
      <c r="G127" s="165">
        <f>SUM(D125)</f>
        <v>594.07000000000005</v>
      </c>
      <c r="H127" s="165"/>
      <c r="I127" s="165"/>
      <c r="J127" s="165"/>
      <c r="K127" s="165"/>
      <c r="L127" s="506"/>
      <c r="M127" s="507"/>
    </row>
    <row r="128" spans="1:13" x14ac:dyDescent="0.2">
      <c r="A128" s="525" t="s">
        <v>1337</v>
      </c>
      <c r="B128" s="526"/>
      <c r="C128" s="527"/>
      <c r="D128" s="171"/>
      <c r="E128" s="171"/>
      <c r="F128" s="129">
        <f>SUM(F88+F91+F94+F97+F100+F103+F106+F109+F112+F115+F118+F121+F124+F127)</f>
        <v>48663.199000000001</v>
      </c>
      <c r="G128" s="129">
        <f t="shared" ref="G128:K128" si="8">SUM(G88+G91+G94+G97+G100+G103+G106+G109+G112+G115+G118+G121+G124+G127)</f>
        <v>76115.703500000003</v>
      </c>
      <c r="H128" s="129">
        <f t="shared" si="8"/>
        <v>91990.953000000009</v>
      </c>
      <c r="I128" s="129">
        <f t="shared" si="8"/>
        <v>76897.099000000002</v>
      </c>
      <c r="J128" s="129">
        <f t="shared" si="8"/>
        <v>52667.059500000003</v>
      </c>
      <c r="K128" s="129">
        <f t="shared" si="8"/>
        <v>31744.645999999997</v>
      </c>
      <c r="L128" s="528"/>
      <c r="M128" s="529"/>
    </row>
    <row r="129" spans="1:15" x14ac:dyDescent="0.2">
      <c r="A129" s="508" t="s">
        <v>1338</v>
      </c>
      <c r="B129" s="509"/>
      <c r="C129" s="524"/>
      <c r="D129" s="171"/>
      <c r="E129" s="171"/>
      <c r="F129" s="129">
        <f>F128+E129</f>
        <v>48663.199000000001</v>
      </c>
      <c r="G129" s="129">
        <f>SUM(F129+G128)</f>
        <v>124778.9025</v>
      </c>
      <c r="H129" s="129">
        <f>SUM(G129+H128)</f>
        <v>216769.85550000001</v>
      </c>
      <c r="I129" s="129">
        <f>SUM(H129+I128)</f>
        <v>293666.95449999999</v>
      </c>
      <c r="J129" s="129">
        <f>SUM(I129+J128)</f>
        <v>346334.01399999997</v>
      </c>
      <c r="K129" s="129">
        <f>SUM(J129+K128)</f>
        <v>378078.66</v>
      </c>
      <c r="L129" s="528"/>
      <c r="M129" s="529"/>
      <c r="O129" s="175"/>
    </row>
    <row r="130" spans="1:15" x14ac:dyDescent="0.2">
      <c r="A130" s="508" t="s">
        <v>1339</v>
      </c>
      <c r="B130" s="509"/>
      <c r="C130" s="524"/>
      <c r="D130" s="172">
        <f>SUM(D86:D127)</f>
        <v>378078.66</v>
      </c>
      <c r="E130" s="151">
        <f>SUM(E86:E127)</f>
        <v>1.0000000000000002</v>
      </c>
      <c r="F130" s="127">
        <f>SUM(F128/D130)</f>
        <v>0.12871183737267797</v>
      </c>
      <c r="G130" s="127">
        <f>SUM(G128/D130)</f>
        <v>0.20132240074062896</v>
      </c>
      <c r="H130" s="127">
        <f>SUM(H128/D130)</f>
        <v>0.2433116775223442</v>
      </c>
      <c r="I130" s="127">
        <f>SUM(I128/D130)</f>
        <v>0.20338915452144274</v>
      </c>
      <c r="J130" s="127">
        <f>SUM(J128/D130)</f>
        <v>0.13930185718495725</v>
      </c>
      <c r="K130" s="127">
        <f>SUM(K128/D130)</f>
        <v>8.3963072657949014E-2</v>
      </c>
      <c r="L130" s="510">
        <f>SUM(L86:M127)</f>
        <v>378078.66</v>
      </c>
      <c r="M130" s="511"/>
    </row>
    <row r="131" spans="1:15" x14ac:dyDescent="0.2">
      <c r="A131" s="508" t="s">
        <v>1340</v>
      </c>
      <c r="B131" s="509"/>
      <c r="C131" s="524"/>
      <c r="D131" s="171"/>
      <c r="E131" s="171"/>
      <c r="F131" s="127">
        <f>SUM(F129/D130)</f>
        <v>0.12871183737267797</v>
      </c>
      <c r="G131" s="127">
        <f>SUM(G129/D130)</f>
        <v>0.3300342381133069</v>
      </c>
      <c r="H131" s="127">
        <f>SUM(H129/D130)</f>
        <v>0.57334591563565107</v>
      </c>
      <c r="I131" s="127">
        <f>SUM(I129/D130)</f>
        <v>0.77673507015709375</v>
      </c>
      <c r="J131" s="127">
        <f>SUM(J129/D130)</f>
        <v>0.916036927342051</v>
      </c>
      <c r="K131" s="127">
        <f>SUM(K129/D130)</f>
        <v>1</v>
      </c>
      <c r="L131" s="510"/>
      <c r="M131" s="511"/>
    </row>
    <row r="132" spans="1:15" x14ac:dyDescent="0.2">
      <c r="A132" s="508" t="s">
        <v>1342</v>
      </c>
      <c r="B132" s="509"/>
      <c r="C132" s="524"/>
      <c r="D132" s="172">
        <f>SUM(D130)</f>
        <v>378078.66</v>
      </c>
      <c r="E132" s="176">
        <f>SUM(D132/D130)</f>
        <v>1</v>
      </c>
      <c r="F132" s="181">
        <f t="shared" ref="F132:K132" si="9">SUM(F128)</f>
        <v>48663.199000000001</v>
      </c>
      <c r="G132" s="181">
        <f t="shared" si="9"/>
        <v>76115.703500000003</v>
      </c>
      <c r="H132" s="181">
        <f t="shared" si="9"/>
        <v>91990.953000000009</v>
      </c>
      <c r="I132" s="181">
        <f t="shared" si="9"/>
        <v>76897.099000000002</v>
      </c>
      <c r="J132" s="181">
        <f t="shared" si="9"/>
        <v>52667.059500000003</v>
      </c>
      <c r="K132" s="181">
        <f t="shared" si="9"/>
        <v>31744.645999999997</v>
      </c>
      <c r="L132" s="510">
        <f>SUM(L130)</f>
        <v>378078.66</v>
      </c>
      <c r="M132" s="511"/>
    </row>
    <row r="133" spans="1:15" x14ac:dyDescent="0.2">
      <c r="A133" s="508" t="s">
        <v>1345</v>
      </c>
      <c r="B133" s="509"/>
      <c r="C133" s="509"/>
      <c r="D133" s="198">
        <f>SUM(D132+D84)</f>
        <v>553079.55924999993</v>
      </c>
      <c r="E133" s="198"/>
      <c r="F133" s="199">
        <f>SUM(F132+F84)</f>
        <v>76772.296781717858</v>
      </c>
      <c r="G133" s="199">
        <f t="shared" ref="G133:K133" si="10">SUM(G132+G84)</f>
        <v>102920.76118947256</v>
      </c>
      <c r="H133" s="199">
        <f t="shared" si="10"/>
        <v>120855.12150290134</v>
      </c>
      <c r="I133" s="199">
        <f t="shared" si="10"/>
        <v>124918.07941947333</v>
      </c>
      <c r="J133" s="199">
        <f t="shared" si="10"/>
        <v>81947.461803841972</v>
      </c>
      <c r="K133" s="199">
        <f t="shared" si="10"/>
        <v>45665.838552592977</v>
      </c>
      <c r="L133" s="512">
        <f>SUM(L132+L84)</f>
        <v>553079.55924999993</v>
      </c>
      <c r="M133" s="513"/>
      <c r="O133" s="175"/>
    </row>
    <row r="134" spans="1:15" ht="13.5" thickBot="1" x14ac:dyDescent="0.25">
      <c r="A134" s="514" t="s">
        <v>1346</v>
      </c>
      <c r="B134" s="515"/>
      <c r="C134" s="515"/>
      <c r="D134" s="200">
        <f>SUM(D133+D83)</f>
        <v>1078240.8092499999</v>
      </c>
      <c r="E134" s="200"/>
      <c r="F134" s="201">
        <f>SUM(F133+F83)</f>
        <v>161125.05719999998</v>
      </c>
      <c r="G134" s="201">
        <f t="shared" ref="G134:K134" si="11">SUM(G133+G83)</f>
        <v>183360.21986000001</v>
      </c>
      <c r="H134" s="201">
        <f t="shared" si="11"/>
        <v>207473.778185</v>
      </c>
      <c r="I134" s="201">
        <f t="shared" si="11"/>
        <v>269024.52808000008</v>
      </c>
      <c r="J134" s="201">
        <f t="shared" si="11"/>
        <v>169815.19699999999</v>
      </c>
      <c r="K134" s="201">
        <f t="shared" si="11"/>
        <v>87442.028924999991</v>
      </c>
      <c r="L134" s="516">
        <f>SUM(F134:K134)</f>
        <v>1078240.8092499999</v>
      </c>
      <c r="M134" s="517"/>
      <c r="O134" s="175"/>
    </row>
    <row r="141" spans="1:15" x14ac:dyDescent="0.2">
      <c r="O141" s="202"/>
    </row>
  </sheetData>
  <mergeCells count="224">
    <mergeCell ref="L7:M7"/>
    <mergeCell ref="A8:A9"/>
    <mergeCell ref="B8:C9"/>
    <mergeCell ref="D8:D9"/>
    <mergeCell ref="E8:E9"/>
    <mergeCell ref="F8:M8"/>
    <mergeCell ref="L9:M9"/>
    <mergeCell ref="L1:M1"/>
    <mergeCell ref="B2:M2"/>
    <mergeCell ref="B3:M3"/>
    <mergeCell ref="L4:M4"/>
    <mergeCell ref="L5:M5"/>
    <mergeCell ref="A6:M6"/>
    <mergeCell ref="A10:A12"/>
    <mergeCell ref="B10:C12"/>
    <mergeCell ref="D10:D12"/>
    <mergeCell ref="E10:E12"/>
    <mergeCell ref="L10:M12"/>
    <mergeCell ref="A13:A15"/>
    <mergeCell ref="B13:C15"/>
    <mergeCell ref="D13:D15"/>
    <mergeCell ref="E13:E15"/>
    <mergeCell ref="L13:M15"/>
    <mergeCell ref="A16:A18"/>
    <mergeCell ref="B16:C18"/>
    <mergeCell ref="D16:D18"/>
    <mergeCell ref="E16:E18"/>
    <mergeCell ref="L16:M18"/>
    <mergeCell ref="A19:A21"/>
    <mergeCell ref="B19:C21"/>
    <mergeCell ref="D19:D21"/>
    <mergeCell ref="E19:E21"/>
    <mergeCell ref="L19:M21"/>
    <mergeCell ref="A22:A24"/>
    <mergeCell ref="B22:C24"/>
    <mergeCell ref="D22:D24"/>
    <mergeCell ref="E22:E24"/>
    <mergeCell ref="L22:M24"/>
    <mergeCell ref="A25:A27"/>
    <mergeCell ref="B25:C27"/>
    <mergeCell ref="D25:D27"/>
    <mergeCell ref="E25:E27"/>
    <mergeCell ref="L25:M27"/>
    <mergeCell ref="A28:A30"/>
    <mergeCell ref="B28:C30"/>
    <mergeCell ref="D28:D30"/>
    <mergeCell ref="E28:E30"/>
    <mergeCell ref="L28:M30"/>
    <mergeCell ref="A31:A33"/>
    <mergeCell ref="B31:C33"/>
    <mergeCell ref="D31:D33"/>
    <mergeCell ref="E31:E33"/>
    <mergeCell ref="L31:M33"/>
    <mergeCell ref="A34:A36"/>
    <mergeCell ref="B34:C36"/>
    <mergeCell ref="D34:D36"/>
    <mergeCell ref="E34:E36"/>
    <mergeCell ref="L34:M36"/>
    <mergeCell ref="A37:A39"/>
    <mergeCell ref="B37:C39"/>
    <mergeCell ref="D37:D39"/>
    <mergeCell ref="E37:E39"/>
    <mergeCell ref="L37:M39"/>
    <mergeCell ref="A40:A42"/>
    <mergeCell ref="B40:C42"/>
    <mergeCell ref="D40:D42"/>
    <mergeCell ref="E40:E42"/>
    <mergeCell ref="L40:M42"/>
    <mergeCell ref="A43:A45"/>
    <mergeCell ref="B43:C45"/>
    <mergeCell ref="D43:D45"/>
    <mergeCell ref="E43:E45"/>
    <mergeCell ref="L43:M45"/>
    <mergeCell ref="A46:A48"/>
    <mergeCell ref="B46:C48"/>
    <mergeCell ref="D46:D48"/>
    <mergeCell ref="E46:E48"/>
    <mergeCell ref="L46:M48"/>
    <mergeCell ref="A49:A51"/>
    <mergeCell ref="B49:C51"/>
    <mergeCell ref="D49:D51"/>
    <mergeCell ref="E49:E51"/>
    <mergeCell ref="L49:M51"/>
    <mergeCell ref="A52:A54"/>
    <mergeCell ref="B52:C54"/>
    <mergeCell ref="D52:D54"/>
    <mergeCell ref="E52:E54"/>
    <mergeCell ref="L52:M54"/>
    <mergeCell ref="A55:A57"/>
    <mergeCell ref="B55:C57"/>
    <mergeCell ref="D55:D57"/>
    <mergeCell ref="E55:E57"/>
    <mergeCell ref="L55:M57"/>
    <mergeCell ref="A58:A60"/>
    <mergeCell ref="B58:C60"/>
    <mergeCell ref="D58:D60"/>
    <mergeCell ref="E58:E60"/>
    <mergeCell ref="L58:M60"/>
    <mergeCell ref="A61:A63"/>
    <mergeCell ref="B61:C63"/>
    <mergeCell ref="D61:D63"/>
    <mergeCell ref="E61:E63"/>
    <mergeCell ref="L61:M63"/>
    <mergeCell ref="A64:A66"/>
    <mergeCell ref="B64:C66"/>
    <mergeCell ref="D64:D66"/>
    <mergeCell ref="E64:E66"/>
    <mergeCell ref="L64:M66"/>
    <mergeCell ref="A67:A69"/>
    <mergeCell ref="B67:C69"/>
    <mergeCell ref="D67:D69"/>
    <mergeCell ref="E67:E69"/>
    <mergeCell ref="L67:M69"/>
    <mergeCell ref="A70:A72"/>
    <mergeCell ref="B70:C72"/>
    <mergeCell ref="D70:D72"/>
    <mergeCell ref="E70:E72"/>
    <mergeCell ref="L70:M72"/>
    <mergeCell ref="A73:A75"/>
    <mergeCell ref="B73:C75"/>
    <mergeCell ref="D73:D75"/>
    <mergeCell ref="E73:E75"/>
    <mergeCell ref="L73:M75"/>
    <mergeCell ref="A80:C80"/>
    <mergeCell ref="L80:M80"/>
    <mergeCell ref="A81:C81"/>
    <mergeCell ref="L81:M81"/>
    <mergeCell ref="A82:C82"/>
    <mergeCell ref="L82:M82"/>
    <mergeCell ref="A76:A78"/>
    <mergeCell ref="B76:C78"/>
    <mergeCell ref="D76:D78"/>
    <mergeCell ref="E76:E78"/>
    <mergeCell ref="L76:M78"/>
    <mergeCell ref="A79:C79"/>
    <mergeCell ref="L79:M79"/>
    <mergeCell ref="A83:C83"/>
    <mergeCell ref="L83:M83"/>
    <mergeCell ref="A84:C84"/>
    <mergeCell ref="L84:M84"/>
    <mergeCell ref="A86:A88"/>
    <mergeCell ref="B86:C88"/>
    <mergeCell ref="D86:D88"/>
    <mergeCell ref="E86:E88"/>
    <mergeCell ref="L86:M88"/>
    <mergeCell ref="A89:A91"/>
    <mergeCell ref="B89:C91"/>
    <mergeCell ref="D89:D91"/>
    <mergeCell ref="E89:E91"/>
    <mergeCell ref="L89:M91"/>
    <mergeCell ref="A92:A94"/>
    <mergeCell ref="B92:C94"/>
    <mergeCell ref="D92:D94"/>
    <mergeCell ref="E92:E94"/>
    <mergeCell ref="L92:M94"/>
    <mergeCell ref="A95:A97"/>
    <mergeCell ref="B95:C97"/>
    <mergeCell ref="D95:D97"/>
    <mergeCell ref="E95:E97"/>
    <mergeCell ref="L95:M97"/>
    <mergeCell ref="A98:A100"/>
    <mergeCell ref="B98:C100"/>
    <mergeCell ref="D98:D100"/>
    <mergeCell ref="E98:E100"/>
    <mergeCell ref="L98:M100"/>
    <mergeCell ref="B110:C112"/>
    <mergeCell ref="A101:A103"/>
    <mergeCell ref="B101:C103"/>
    <mergeCell ref="D101:D103"/>
    <mergeCell ref="E101:E103"/>
    <mergeCell ref="L101:M103"/>
    <mergeCell ref="A104:A106"/>
    <mergeCell ref="B104:C106"/>
    <mergeCell ref="D104:D106"/>
    <mergeCell ref="E104:E106"/>
    <mergeCell ref="L104:M106"/>
    <mergeCell ref="D116:D118"/>
    <mergeCell ref="A131:C131"/>
    <mergeCell ref="L131:M131"/>
    <mergeCell ref="A132:C132"/>
    <mergeCell ref="B107:C109"/>
    <mergeCell ref="D107:D109"/>
    <mergeCell ref="D110:D112"/>
    <mergeCell ref="D113:D115"/>
    <mergeCell ref="E107:E109"/>
    <mergeCell ref="E110:E112"/>
    <mergeCell ref="A128:C128"/>
    <mergeCell ref="L128:M128"/>
    <mergeCell ref="A129:C129"/>
    <mergeCell ref="L129:M129"/>
    <mergeCell ref="A130:C130"/>
    <mergeCell ref="L130:M130"/>
    <mergeCell ref="A119:A121"/>
    <mergeCell ref="B119:C121"/>
    <mergeCell ref="D119:D121"/>
    <mergeCell ref="E119:E121"/>
    <mergeCell ref="E113:E115"/>
    <mergeCell ref="A107:A109"/>
    <mergeCell ref="A110:A112"/>
    <mergeCell ref="A113:A115"/>
    <mergeCell ref="E116:E118"/>
    <mergeCell ref="B113:C115"/>
    <mergeCell ref="L125:M127"/>
    <mergeCell ref="A133:C133"/>
    <mergeCell ref="L132:M132"/>
    <mergeCell ref="L133:M133"/>
    <mergeCell ref="A134:C134"/>
    <mergeCell ref="L134:M134"/>
    <mergeCell ref="L107:M109"/>
    <mergeCell ref="L110:M112"/>
    <mergeCell ref="L113:M115"/>
    <mergeCell ref="L116:M118"/>
    <mergeCell ref="L119:M121"/>
    <mergeCell ref="L122:M124"/>
    <mergeCell ref="A122:A124"/>
    <mergeCell ref="B122:C124"/>
    <mergeCell ref="D122:D124"/>
    <mergeCell ref="E122:E124"/>
    <mergeCell ref="A125:A127"/>
    <mergeCell ref="B125:C127"/>
    <mergeCell ref="D125:D127"/>
    <mergeCell ref="E125:E127"/>
    <mergeCell ref="A116:A118"/>
    <mergeCell ref="B116:C118"/>
  </mergeCells>
  <pageMargins left="0.51181102362204722" right="0.51181102362204722" top="0.59055118110236227" bottom="0.3937007874015748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Serviços Extras - Creche</vt:lpstr>
      <vt:lpstr>Recurso Federal - Creche</vt:lpstr>
      <vt:lpstr>Cronograma</vt:lpstr>
      <vt:lpstr>APRESENTAR COMPOSIÇÕES DE CUSTO</vt:lpstr>
      <vt:lpstr>'Serviços Extras - Creche'!Area_de_impressao</vt:lpstr>
    </vt:vector>
  </TitlesOfParts>
  <Company>UnB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Rúbia Náttally</dc:creator>
  <cp:lastModifiedBy>Renato</cp:lastModifiedBy>
  <cp:lastPrinted>2016-11-15T21:11:36Z</cp:lastPrinted>
  <dcterms:created xsi:type="dcterms:W3CDTF">2007-06-01T23:38:19Z</dcterms:created>
  <dcterms:modified xsi:type="dcterms:W3CDTF">2016-12-02T12:37:35Z</dcterms:modified>
</cp:coreProperties>
</file>